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1'!$A$6:$AC$412</definedName>
    <definedName name="_Hlk155693198" localSheetId="0">'Plan Adqu ICFE 2024 VR 1'!$M$154</definedName>
    <definedName name="_xlnm.Print_Area" localSheetId="0">'Plan Adqu ICFE 2024 VR 1'!$A$1:$Z$413</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05" i="11" l="1"/>
  <c r="Y341" i="11"/>
  <c r="Y350" i="11"/>
  <c r="V350" i="11"/>
  <c r="W343" i="11"/>
  <c r="Y404" i="11" l="1"/>
  <c r="R348" i="11"/>
  <c r="R341" i="11"/>
  <c r="R339" i="11"/>
  <c r="Y342" i="11"/>
  <c r="W342" i="11"/>
  <c r="V342" i="11"/>
  <c r="Y340" i="11"/>
  <c r="V340" i="11"/>
  <c r="Z127" i="11" l="1"/>
  <c r="W127" i="11"/>
  <c r="R40" i="11" l="1"/>
  <c r="Z413" i="11" l="1"/>
  <c r="Z384" i="11"/>
  <c r="Z383" i="11"/>
  <c r="Z382" i="11"/>
  <c r="Z381" i="11"/>
  <c r="Z380" i="11"/>
  <c r="Z379" i="11"/>
  <c r="Z378" i="11"/>
  <c r="Z377" i="11"/>
  <c r="Z376" i="11"/>
  <c r="Z375" i="11"/>
  <c r="Y347" i="11"/>
  <c r="W347" i="11"/>
  <c r="V347" i="11"/>
  <c r="Z298" i="11"/>
  <c r="Z324" i="11"/>
  <c r="Z322" i="11"/>
  <c r="Z314" i="11"/>
  <c r="Z279" i="11"/>
  <c r="Z278" i="11"/>
  <c r="Z202" i="11"/>
  <c r="Z208" i="11"/>
  <c r="Y219" i="11"/>
  <c r="Y218" i="11" s="1"/>
  <c r="V219" i="11"/>
  <c r="V218" i="11" s="1"/>
  <c r="Y185" i="11"/>
  <c r="V185" i="11"/>
  <c r="Y181" i="11"/>
  <c r="V181" i="11"/>
  <c r="Z184" i="11"/>
  <c r="Z183" i="11"/>
  <c r="Z182" i="11"/>
  <c r="W186" i="11"/>
  <c r="W185" i="11" s="1"/>
  <c r="Y70" i="11"/>
  <c r="Y69" i="11" s="1"/>
  <c r="V70" i="11"/>
  <c r="V69" i="11" s="1"/>
  <c r="Y67" i="11"/>
  <c r="V67" i="11"/>
  <c r="V338" i="11"/>
  <c r="V337" i="11" s="1"/>
  <c r="V336" i="11" s="1"/>
  <c r="Y338" i="11"/>
  <c r="Y337" i="11" s="1"/>
  <c r="Y336" i="11" s="1"/>
  <c r="T254" i="11"/>
  <c r="V254" i="11"/>
  <c r="Y254" i="11"/>
  <c r="V251" i="11"/>
  <c r="Y251" i="11"/>
  <c r="Y398" i="11"/>
  <c r="Y397" i="11" s="1"/>
  <c r="Y396" i="11" s="1"/>
  <c r="Y395" i="11" s="1"/>
  <c r="V398" i="11"/>
  <c r="V397" i="11" s="1"/>
  <c r="V396" i="11" s="1"/>
  <c r="V395" i="11" s="1"/>
  <c r="Y368" i="11"/>
  <c r="Y367" i="11" s="1"/>
  <c r="Y366" i="11" s="1"/>
  <c r="Y365" i="11" s="1"/>
  <c r="V368" i="11"/>
  <c r="V367" i="11" s="1"/>
  <c r="V366" i="11" s="1"/>
  <c r="V365" i="11" s="1"/>
  <c r="Y334" i="11"/>
  <c r="Y333" i="11" s="1"/>
  <c r="Y332" i="11" s="1"/>
  <c r="V334" i="11"/>
  <c r="V333" i="11" s="1"/>
  <c r="V332" i="11" s="1"/>
  <c r="Y329" i="11"/>
  <c r="Y328" i="11" s="1"/>
  <c r="Y327" i="11" s="1"/>
  <c r="V329" i="11"/>
  <c r="V328" i="11" s="1"/>
  <c r="V327" i="11" s="1"/>
  <c r="Y316" i="11"/>
  <c r="V316" i="11"/>
  <c r="Y312" i="11"/>
  <c r="V312" i="11"/>
  <c r="Y302" i="11"/>
  <c r="Y301" i="11" s="1"/>
  <c r="Y300" i="11" s="1"/>
  <c r="V302" i="11"/>
  <c r="V301" i="11" s="1"/>
  <c r="V300" i="11" s="1"/>
  <c r="Y297" i="11"/>
  <c r="Y296" i="11" s="1"/>
  <c r="Y295" i="11" s="1"/>
  <c r="V297" i="11"/>
  <c r="V296" i="11" s="1"/>
  <c r="V295" i="11" s="1"/>
  <c r="Y293" i="11"/>
  <c r="Y292" i="11" s="1"/>
  <c r="V293" i="11"/>
  <c r="V292" i="11" s="1"/>
  <c r="Y290" i="11"/>
  <c r="V290" i="11"/>
  <c r="Y285" i="11"/>
  <c r="Y284" i="11" s="1"/>
  <c r="Y283" i="11" s="1"/>
  <c r="V285" i="11"/>
  <c r="V284" i="11" s="1"/>
  <c r="V283" i="11" s="1"/>
  <c r="Y276" i="11"/>
  <c r="V276" i="11"/>
  <c r="Y270" i="11"/>
  <c r="V270" i="11"/>
  <c r="Y259" i="11"/>
  <c r="V259" i="11"/>
  <c r="Y248" i="11"/>
  <c r="Y247" i="11" s="1"/>
  <c r="V248" i="11"/>
  <c r="V247" i="11" s="1"/>
  <c r="Y245" i="11"/>
  <c r="V245" i="11"/>
  <c r="Y242" i="11"/>
  <c r="V242" i="11"/>
  <c r="V241" i="11" s="1"/>
  <c r="Y238" i="11"/>
  <c r="Y237" i="11" s="1"/>
  <c r="V238" i="11"/>
  <c r="V237" i="11" s="1"/>
  <c r="Y235" i="11"/>
  <c r="Y234" i="11" s="1"/>
  <c r="V235" i="11"/>
  <c r="V234" i="11" s="1"/>
  <c r="Y232" i="11"/>
  <c r="Y231" i="11" s="1"/>
  <c r="V232" i="11"/>
  <c r="V231" i="11" s="1"/>
  <c r="Y223" i="11"/>
  <c r="Y222" i="11" s="1"/>
  <c r="V223" i="11"/>
  <c r="V222" i="11" s="1"/>
  <c r="Y216" i="11"/>
  <c r="Y215" i="11" s="1"/>
  <c r="V216" i="11"/>
  <c r="V215" i="11" s="1"/>
  <c r="Y212" i="11"/>
  <c r="Y211" i="11" s="1"/>
  <c r="V212" i="11"/>
  <c r="V211" i="11" s="1"/>
  <c r="Y203" i="11"/>
  <c r="V203" i="11"/>
  <c r="Y198" i="11"/>
  <c r="V198" i="11"/>
  <c r="Y196" i="11"/>
  <c r="V196" i="11"/>
  <c r="Y192" i="11"/>
  <c r="Y191" i="11" s="1"/>
  <c r="V192" i="11"/>
  <c r="V191" i="11" s="1"/>
  <c r="Y189" i="11"/>
  <c r="V189" i="11"/>
  <c r="Y171" i="11"/>
  <c r="V171" i="11"/>
  <c r="Y169" i="11"/>
  <c r="V169" i="11"/>
  <c r="Y123" i="11"/>
  <c r="Y122" i="11" s="1"/>
  <c r="Y121" i="11" s="1"/>
  <c r="V123" i="11"/>
  <c r="Y114" i="11"/>
  <c r="Y113" i="11" s="1"/>
  <c r="V114" i="11"/>
  <c r="Y110" i="11"/>
  <c r="Y109" i="11" s="1"/>
  <c r="Y108" i="11" s="1"/>
  <c r="Y107" i="11" s="1"/>
  <c r="Y106" i="11" s="1"/>
  <c r="V110" i="11"/>
  <c r="V109" i="11" s="1"/>
  <c r="V108" i="11" s="1"/>
  <c r="V107" i="11" s="1"/>
  <c r="V106" i="11" s="1"/>
  <c r="Y104" i="11"/>
  <c r="Y103" i="11" s="1"/>
  <c r="V104" i="11"/>
  <c r="V103" i="11" s="1"/>
  <c r="Y92" i="11"/>
  <c r="V92" i="11"/>
  <c r="Y90" i="11"/>
  <c r="V90" i="11"/>
  <c r="Y82" i="11"/>
  <c r="V82" i="11"/>
  <c r="V81" i="11" s="1"/>
  <c r="Y79" i="11"/>
  <c r="Y78" i="11" s="1"/>
  <c r="V79" i="11"/>
  <c r="V78" i="11" s="1"/>
  <c r="Y76" i="11"/>
  <c r="Y75" i="11" s="1"/>
  <c r="V76" i="11"/>
  <c r="V75" i="11" s="1"/>
  <c r="Y65" i="11"/>
  <c r="V65" i="11"/>
  <c r="Y63" i="11"/>
  <c r="V63" i="11"/>
  <c r="Y60" i="11"/>
  <c r="V60" i="11"/>
  <c r="Y58" i="11"/>
  <c r="V58" i="11"/>
  <c r="Y55" i="11"/>
  <c r="V55" i="11"/>
  <c r="Y53" i="11"/>
  <c r="Y52" i="11" s="1"/>
  <c r="V53" i="11"/>
  <c r="Y50" i="11"/>
  <c r="V50" i="11"/>
  <c r="Y47" i="11"/>
  <c r="Y46" i="11" s="1"/>
  <c r="V47" i="11"/>
  <c r="Y36" i="11"/>
  <c r="V36" i="11"/>
  <c r="Y34" i="11"/>
  <c r="V34" i="11"/>
  <c r="Y22" i="11"/>
  <c r="Y21" i="11" s="1"/>
  <c r="Y20" i="11" s="1"/>
  <c r="V22" i="11"/>
  <c r="V21" i="11" s="1"/>
  <c r="V20" i="11" s="1"/>
  <c r="V19" i="11" s="1"/>
  <c r="V18" i="11" s="1"/>
  <c r="Y16" i="11"/>
  <c r="Y15" i="11" s="1"/>
  <c r="V16" i="11"/>
  <c r="V15" i="11" s="1"/>
  <c r="Y12" i="11"/>
  <c r="V12" i="11"/>
  <c r="V11" i="11" s="1"/>
  <c r="Y225" i="11"/>
  <c r="V225" i="11"/>
  <c r="V113" i="11"/>
  <c r="Y100" i="11"/>
  <c r="V100" i="11"/>
  <c r="Y96" i="11"/>
  <c r="V96" i="11"/>
  <c r="Y81" i="11"/>
  <c r="Y73" i="11"/>
  <c r="V73" i="11"/>
  <c r="Y42" i="11"/>
  <c r="V42" i="11"/>
  <c r="Y38" i="11"/>
  <c r="V38" i="11"/>
  <c r="Y351" i="11"/>
  <c r="V351" i="11"/>
  <c r="Y349" i="11"/>
  <c r="Y346" i="11" s="1"/>
  <c r="Y345" i="11" s="1"/>
  <c r="Y344" i="11" s="1"/>
  <c r="V349" i="11"/>
  <c r="Y30" i="11"/>
  <c r="V30" i="11"/>
  <c r="V29" i="11" s="1"/>
  <c r="V28" i="11" s="1"/>
  <c r="V346" i="11" l="1"/>
  <c r="V345" i="11" s="1"/>
  <c r="V344" i="11" s="1"/>
  <c r="V180" i="11"/>
  <c r="V364" i="11"/>
  <c r="V363" i="11" s="1"/>
  <c r="V362" i="11" s="1"/>
  <c r="Y250" i="11"/>
  <c r="V62" i="11"/>
  <c r="Z181" i="11"/>
  <c r="Y62" i="11"/>
  <c r="Y89" i="11"/>
  <c r="Y72" i="11" s="1"/>
  <c r="Y188" i="11"/>
  <c r="Y241" i="11"/>
  <c r="Y230" i="11" s="1"/>
  <c r="Y229" i="11" s="1"/>
  <c r="Y258" i="11"/>
  <c r="Y257" i="11" s="1"/>
  <c r="Y311" i="11"/>
  <c r="Y299" i="11" s="1"/>
  <c r="V33" i="11"/>
  <c r="V32" i="11" s="1"/>
  <c r="V46" i="11"/>
  <c r="V52" i="11"/>
  <c r="V57" i="11"/>
  <c r="V258" i="11"/>
  <c r="V257" i="11" s="1"/>
  <c r="V311" i="11"/>
  <c r="Y180" i="11"/>
  <c r="Y95" i="11"/>
  <c r="Y364" i="11"/>
  <c r="Y363" i="11" s="1"/>
  <c r="Y362" i="11" s="1"/>
  <c r="V250" i="11"/>
  <c r="V89" i="11"/>
  <c r="V188" i="11"/>
  <c r="V299" i="11"/>
  <c r="V289" i="11"/>
  <c r="V288" i="11" s="1"/>
  <c r="V287" i="11" s="1"/>
  <c r="Y289" i="11"/>
  <c r="Y288" i="11" s="1"/>
  <c r="Y287" i="11" s="1"/>
  <c r="Y57" i="11"/>
  <c r="Y45" i="11" s="1"/>
  <c r="V122" i="11"/>
  <c r="V121" i="11" s="1"/>
  <c r="V112" i="11" s="1"/>
  <c r="V195" i="11"/>
  <c r="V194" i="11" s="1"/>
  <c r="Y210" i="11"/>
  <c r="Y195" i="11"/>
  <c r="Y194" i="11" s="1"/>
  <c r="V210" i="11"/>
  <c r="V230" i="11"/>
  <c r="V10" i="11"/>
  <c r="V9" i="11" s="1"/>
  <c r="V95" i="11"/>
  <c r="V72" i="11"/>
  <c r="Y11" i="11"/>
  <c r="Y10" i="11" s="1"/>
  <c r="Y19" i="11"/>
  <c r="Y18" i="11" s="1"/>
  <c r="Y29" i="11"/>
  <c r="Y28" i="11" s="1"/>
  <c r="Y33" i="11"/>
  <c r="Y32" i="11" s="1"/>
  <c r="Y339" i="11"/>
  <c r="Y209" i="11"/>
  <c r="V209" i="11"/>
  <c r="R105" i="11"/>
  <c r="R151" i="11"/>
  <c r="R392" i="11"/>
  <c r="R393" i="11"/>
  <c r="Y168" i="11"/>
  <c r="R330" i="11"/>
  <c r="R298" i="11"/>
  <c r="R74" i="11"/>
  <c r="V45" i="11" l="1"/>
  <c r="V256" i="11"/>
  <c r="V229" i="11"/>
  <c r="Y112" i="11"/>
  <c r="Y94" i="11" s="1"/>
  <c r="Y256" i="11"/>
  <c r="Y228" i="11" s="1"/>
  <c r="Y227" i="11" s="1"/>
  <c r="V27" i="11"/>
  <c r="Y9" i="11"/>
  <c r="Y8" i="11" s="1"/>
  <c r="Y27" i="11"/>
  <c r="V94" i="11"/>
  <c r="V8" i="11"/>
  <c r="Z66" i="11"/>
  <c r="Z65" i="11" s="1"/>
  <c r="W384" i="11"/>
  <c r="W383" i="11"/>
  <c r="R398" i="11"/>
  <c r="V228" i="11" l="1"/>
  <c r="V227" i="11" s="1"/>
  <c r="Y26" i="11"/>
  <c r="Y7" i="11" s="1"/>
  <c r="V26" i="11"/>
  <c r="V7" i="11" s="1"/>
  <c r="R412" i="11"/>
  <c r="R384" i="11" l="1"/>
  <c r="R379" i="11"/>
  <c r="R377" i="11"/>
  <c r="R383" i="11"/>
  <c r="R382" i="11"/>
  <c r="R381" i="11"/>
  <c r="R380" i="11"/>
  <c r="R376" i="11"/>
  <c r="R375" i="11"/>
  <c r="R189" i="11" l="1"/>
  <c r="Z190" i="11"/>
  <c r="Z189" i="11" s="1"/>
  <c r="W190" i="11"/>
  <c r="W189" i="11" s="1"/>
  <c r="R243" i="11" l="1"/>
  <c r="V253" i="11"/>
  <c r="R253" i="11"/>
  <c r="W282" i="11" l="1"/>
  <c r="W281" i="11"/>
  <c r="W280" i="11"/>
  <c r="W279" i="11"/>
  <c r="W278" i="11"/>
  <c r="W277" i="11"/>
  <c r="W275" i="11"/>
  <c r="W274" i="11"/>
  <c r="W273" i="11"/>
  <c r="W272" i="11"/>
  <c r="W271" i="11"/>
  <c r="W269" i="11"/>
  <c r="W268" i="11"/>
  <c r="W267" i="11"/>
  <c r="W265" i="11"/>
  <c r="W262" i="11"/>
  <c r="W261" i="11"/>
  <c r="W54" i="11"/>
  <c r="W53" i="11" s="1"/>
  <c r="Y266" i="11"/>
  <c r="W266" i="11" s="1"/>
  <c r="V138" i="11"/>
  <c r="W138" i="11"/>
  <c r="W48" i="11"/>
  <c r="W324" i="11"/>
  <c r="W322" i="11"/>
  <c r="W314" i="11"/>
  <c r="Z265" i="11"/>
  <c r="W264" i="11"/>
  <c r="W253" i="11"/>
  <c r="W252" i="11"/>
  <c r="V207" i="11"/>
  <c r="V197" i="11"/>
  <c r="V168" i="11"/>
  <c r="V99" i="11"/>
  <c r="W14" i="11"/>
  <c r="W13" i="11"/>
  <c r="W12" i="11" s="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5" i="11"/>
  <c r="W124" i="11"/>
  <c r="W120" i="11"/>
  <c r="W119" i="11"/>
  <c r="W118" i="11"/>
  <c r="W117" i="11"/>
  <c r="W116" i="11"/>
  <c r="W115" i="11"/>
  <c r="W111" i="11"/>
  <c r="W110" i="11" s="1"/>
  <c r="W109" i="11" s="1"/>
  <c r="W108" i="11" s="1"/>
  <c r="W107" i="11" s="1"/>
  <c r="W106" i="11" s="1"/>
  <c r="W105" i="11"/>
  <c r="W104" i="11" s="1"/>
  <c r="W103" i="11" s="1"/>
  <c r="W102" i="11"/>
  <c r="W101" i="11"/>
  <c r="W99" i="11"/>
  <c r="W98" i="11"/>
  <c r="W97" i="11"/>
  <c r="W93" i="11"/>
  <c r="W92" i="11" s="1"/>
  <c r="W91" i="11"/>
  <c r="W90" i="11" s="1"/>
  <c r="W88" i="11"/>
  <c r="W87" i="11"/>
  <c r="W86" i="11"/>
  <c r="W85" i="11"/>
  <c r="W84" i="11"/>
  <c r="W83" i="11"/>
  <c r="W74" i="11"/>
  <c r="W73" i="11" s="1"/>
  <c r="W71" i="11"/>
  <c r="W70" i="11" s="1"/>
  <c r="W69" i="11" s="1"/>
  <c r="W68" i="11"/>
  <c r="W67" i="11" s="1"/>
  <c r="W66" i="11"/>
  <c r="W65" i="11" s="1"/>
  <c r="W64" i="11"/>
  <c r="W63" i="11" s="1"/>
  <c r="W62" i="11" s="1"/>
  <c r="W61" i="11"/>
  <c r="W60" i="11" s="1"/>
  <c r="W44" i="11"/>
  <c r="W37" i="11"/>
  <c r="W36" i="11" s="1"/>
  <c r="W35" i="11"/>
  <c r="W34" i="11" s="1"/>
  <c r="W31" i="11"/>
  <c r="W30" i="11" s="1"/>
  <c r="W41" i="11"/>
  <c r="W40" i="11"/>
  <c r="W39" i="11"/>
  <c r="V17" i="11"/>
  <c r="W17" i="11" s="1"/>
  <c r="R321" i="11"/>
  <c r="W181" i="11" l="1"/>
  <c r="W114" i="11"/>
  <c r="W113" i="11" s="1"/>
  <c r="W251" i="11"/>
  <c r="W270" i="11"/>
  <c r="W276" i="11"/>
  <c r="W82" i="11"/>
  <c r="W81" i="11" s="1"/>
  <c r="W16" i="11"/>
  <c r="W15" i="11" s="1"/>
  <c r="W89" i="11"/>
  <c r="W96" i="11"/>
  <c r="W38" i="11"/>
  <c r="W100" i="11"/>
  <c r="W33" i="11"/>
  <c r="W11" i="11"/>
  <c r="W29" i="11"/>
  <c r="W28" i="11" s="1"/>
  <c r="W168" i="11"/>
  <c r="R267" i="11"/>
  <c r="Z267" i="11" s="1"/>
  <c r="R199" i="11"/>
  <c r="R197" i="11"/>
  <c r="W10" i="11" l="1"/>
  <c r="W95" i="11"/>
  <c r="R324" i="11"/>
  <c r="R264" i="11"/>
  <c r="Z264" i="11" s="1"/>
  <c r="R323" i="11"/>
  <c r="R260" i="11" l="1"/>
  <c r="R322" i="11"/>
  <c r="R168" i="11"/>
  <c r="R141" i="11"/>
  <c r="R99" i="11" l="1"/>
  <c r="R183" i="11"/>
  <c r="R14" i="11"/>
  <c r="R280" i="11"/>
  <c r="R282" i="11"/>
  <c r="Z274" i="11"/>
  <c r="Z273" i="11"/>
  <c r="R266" i="11" l="1"/>
  <c r="R313" i="11"/>
  <c r="R263" i="11"/>
  <c r="R207" i="11"/>
  <c r="R203" i="11" s="1"/>
  <c r="R201" i="11"/>
  <c r="R198" i="11" s="1"/>
  <c r="W310" i="11"/>
  <c r="Z310" i="11"/>
  <c r="Y263" i="11"/>
  <c r="W263" i="11" s="1"/>
  <c r="Y43" i="11"/>
  <c r="V239" i="11" l="1"/>
  <c r="V217" i="11"/>
  <c r="R17" i="11"/>
  <c r="R133" i="11" l="1"/>
  <c r="R137" i="11"/>
  <c r="W23" i="11" l="1"/>
  <c r="R77" i="11"/>
  <c r="W22" i="11" l="1"/>
  <c r="W21" i="11" s="1"/>
  <c r="W20" i="11" s="1"/>
  <c r="W19" i="11" s="1"/>
  <c r="W18" i="11" s="1"/>
  <c r="W9" i="11" s="1"/>
  <c r="W8" i="11" s="1"/>
  <c r="R242" i="11"/>
  <c r="R251" i="11"/>
  <c r="V77" i="11" l="1"/>
  <c r="W77" i="11" s="1"/>
  <c r="W76" i="11" s="1"/>
  <c r="W75" i="11" s="1"/>
  <c r="R217" i="11"/>
  <c r="R303" i="11" l="1"/>
  <c r="Z253" i="11"/>
  <c r="Z40" i="11"/>
  <c r="R73" i="11"/>
  <c r="Z74" i="11"/>
  <c r="Z73" i="11" s="1"/>
  <c r="R130" i="11" l="1"/>
  <c r="Y304" i="11" l="1"/>
  <c r="Y307" i="11"/>
  <c r="V406" i="11"/>
  <c r="W406" i="11" s="1"/>
  <c r="W412" i="11"/>
  <c r="W411" i="11"/>
  <c r="W410" i="11"/>
  <c r="W409" i="11"/>
  <c r="W407" i="11"/>
  <c r="W404" i="11"/>
  <c r="W403" i="11"/>
  <c r="W402" i="11"/>
  <c r="W401" i="11"/>
  <c r="W400" i="11"/>
  <c r="W394" i="11"/>
  <c r="W393" i="11"/>
  <c r="W392" i="11"/>
  <c r="W391" i="11"/>
  <c r="W390" i="11"/>
  <c r="W388" i="11"/>
  <c r="W386" i="11"/>
  <c r="W382" i="11"/>
  <c r="W381" i="11"/>
  <c r="W380" i="11"/>
  <c r="W379" i="11"/>
  <c r="W378" i="11"/>
  <c r="W377" i="11"/>
  <c r="W376" i="11"/>
  <c r="W375" i="11"/>
  <c r="W374" i="11"/>
  <c r="W373" i="11"/>
  <c r="W372" i="11"/>
  <c r="W371" i="11"/>
  <c r="W370" i="11"/>
  <c r="W369" i="11"/>
  <c r="W405" i="11" l="1"/>
  <c r="W350" i="11" l="1"/>
  <c r="W349" i="11" s="1"/>
  <c r="W346" i="11" s="1"/>
  <c r="W345" i="11" s="1"/>
  <c r="W344" i="11" s="1"/>
  <c r="W352" i="11"/>
  <c r="W351" i="11" s="1"/>
  <c r="W348" i="11"/>
  <c r="W339" i="11"/>
  <c r="W338" i="11" s="1"/>
  <c r="W335" i="11"/>
  <c r="W334" i="11" s="1"/>
  <c r="W333" i="11" s="1"/>
  <c r="W332" i="11" s="1"/>
  <c r="W331" i="11"/>
  <c r="W330" i="11"/>
  <c r="W326" i="11"/>
  <c r="W325" i="11"/>
  <c r="W323" i="11"/>
  <c r="W321" i="11"/>
  <c r="W320" i="11"/>
  <c r="W319" i="11"/>
  <c r="W317" i="11"/>
  <c r="W315" i="11"/>
  <c r="W313" i="11"/>
  <c r="W329" i="11" l="1"/>
  <c r="W328" i="11" s="1"/>
  <c r="W327" i="11" s="1"/>
  <c r="W312" i="11"/>
  <c r="W309" i="11"/>
  <c r="W308" i="11"/>
  <c r="W307" i="11"/>
  <c r="W306" i="11"/>
  <c r="W305" i="11"/>
  <c r="W304" i="11"/>
  <c r="W303" i="11"/>
  <c r="W294" i="11"/>
  <c r="W293" i="11" s="1"/>
  <c r="W292" i="11" s="1"/>
  <c r="W291" i="11"/>
  <c r="W290" i="11" s="1"/>
  <c r="W286" i="11"/>
  <c r="W285" i="11" s="1"/>
  <c r="W284" i="11" s="1"/>
  <c r="W283" i="11" s="1"/>
  <c r="W255" i="11"/>
  <c r="W254" i="11" s="1"/>
  <c r="W250" i="11" s="1"/>
  <c r="W249" i="11"/>
  <c r="W248" i="11" s="1"/>
  <c r="W247" i="11" s="1"/>
  <c r="W246" i="11"/>
  <c r="W245" i="11" s="1"/>
  <c r="W244" i="11"/>
  <c r="W243" i="11"/>
  <c r="W240" i="11"/>
  <c r="W239" i="11"/>
  <c r="W236" i="11"/>
  <c r="W235" i="11" s="1"/>
  <c r="W234" i="11" s="1"/>
  <c r="W233" i="11"/>
  <c r="W232" i="11" s="1"/>
  <c r="W231" i="11" s="1"/>
  <c r="W224" i="11"/>
  <c r="W223" i="11" s="1"/>
  <c r="W222" i="11" s="1"/>
  <c r="W221" i="11"/>
  <c r="W213" i="11"/>
  <c r="W217" i="11"/>
  <c r="W216" i="11" s="1"/>
  <c r="W215" i="11" s="1"/>
  <c r="W209" i="11"/>
  <c r="W207" i="11"/>
  <c r="W206" i="11"/>
  <c r="W205" i="11"/>
  <c r="W204" i="11"/>
  <c r="W201" i="11"/>
  <c r="W200" i="11"/>
  <c r="W199" i="11"/>
  <c r="W197" i="11"/>
  <c r="W196" i="11" s="1"/>
  <c r="W193" i="11"/>
  <c r="W192" i="11" s="1"/>
  <c r="W191" i="11" s="1"/>
  <c r="W188" i="11" s="1"/>
  <c r="W179" i="11"/>
  <c r="W178" i="11"/>
  <c r="W177" i="11"/>
  <c r="W176" i="11"/>
  <c r="W175" i="11"/>
  <c r="W174" i="11"/>
  <c r="W173" i="11"/>
  <c r="W172" i="11"/>
  <c r="W170" i="11"/>
  <c r="W169" i="11" s="1"/>
  <c r="W59" i="11"/>
  <c r="W58" i="11" s="1"/>
  <c r="W57" i="11" s="1"/>
  <c r="W56" i="11"/>
  <c r="W55" i="11" s="1"/>
  <c r="W52" i="11" s="1"/>
  <c r="W43" i="11"/>
  <c r="W42" i="11" s="1"/>
  <c r="W32" i="11" s="1"/>
  <c r="W49" i="11"/>
  <c r="W47" i="11" s="1"/>
  <c r="W238" i="11" l="1"/>
  <c r="W237" i="11" s="1"/>
  <c r="W289" i="11"/>
  <c r="W288" i="11" s="1"/>
  <c r="W203" i="11"/>
  <c r="W171" i="11"/>
  <c r="W180" i="11"/>
  <c r="W198" i="11"/>
  <c r="W242" i="11"/>
  <c r="W241" i="11" s="1"/>
  <c r="W302" i="11"/>
  <c r="W301" i="11" s="1"/>
  <c r="W300" i="11" s="1"/>
  <c r="W220" i="11"/>
  <c r="W219" i="11" s="1"/>
  <c r="W218" i="11" s="1"/>
  <c r="V214" i="11"/>
  <c r="W214" i="11" s="1"/>
  <c r="W212" i="11" s="1"/>
  <c r="W211" i="11" s="1"/>
  <c r="W210" i="11" l="1"/>
  <c r="W195" i="11"/>
  <c r="W194" i="11" s="1"/>
  <c r="W230" i="11"/>
  <c r="W229" i="11" s="1"/>
  <c r="V142" i="11"/>
  <c r="W142" i="11" s="1"/>
  <c r="V149" i="11"/>
  <c r="W149" i="11" s="1"/>
  <c r="V145" i="11"/>
  <c r="W145" i="11" s="1"/>
  <c r="V128" i="11"/>
  <c r="W128" i="11" s="1"/>
  <c r="V132" i="11"/>
  <c r="W132" i="11" s="1"/>
  <c r="V80" i="11"/>
  <c r="W80" i="11" s="1"/>
  <c r="W79" i="11" s="1"/>
  <c r="W78" i="11" s="1"/>
  <c r="W72" i="11" s="1"/>
  <c r="V130" i="11"/>
  <c r="W130" i="11" s="1"/>
  <c r="R93" i="11"/>
  <c r="Z205" i="11"/>
  <c r="R85" i="11"/>
  <c r="R142" i="11"/>
  <c r="R149" i="11"/>
  <c r="R145" i="11"/>
  <c r="R128" i="11"/>
  <c r="R132" i="11"/>
  <c r="R115" i="11"/>
  <c r="R80" i="11"/>
  <c r="R131" i="11"/>
  <c r="R25" i="11"/>
  <c r="R24" i="11"/>
  <c r="R23" i="11"/>
  <c r="Z23" i="11" s="1"/>
  <c r="R86" i="11"/>
  <c r="R22" i="11" l="1"/>
  <c r="V147" i="11"/>
  <c r="W147" i="11" s="1"/>
  <c r="Y260" i="11" l="1"/>
  <c r="W260" i="11" s="1"/>
  <c r="W259" i="11" s="1"/>
  <c r="W258" i="11" s="1"/>
  <c r="W257" i="11" s="1"/>
  <c r="V341" i="11"/>
  <c r="W341" i="11" s="1"/>
  <c r="W340" i="11" s="1"/>
  <c r="W337" i="11" s="1"/>
  <c r="W336" i="11" s="1"/>
  <c r="V226" i="11"/>
  <c r="W226" i="11" s="1"/>
  <c r="W225" i="11" s="1"/>
  <c r="W298" i="11" l="1"/>
  <c r="W297" i="11" s="1"/>
  <c r="W296" i="11" s="1"/>
  <c r="W295" i="11" s="1"/>
  <c r="W287" i="11" s="1"/>
  <c r="Z412" i="11"/>
  <c r="Z410" i="11"/>
  <c r="Z407" i="11"/>
  <c r="Z404" i="11"/>
  <c r="Z403" i="11"/>
  <c r="Z391" i="11"/>
  <c r="Z390" i="11"/>
  <c r="Z388" i="11"/>
  <c r="Z386" i="11"/>
  <c r="Z330" i="11"/>
  <c r="Z326" i="11"/>
  <c r="Z315" i="11"/>
  <c r="Z313" i="11"/>
  <c r="Z309" i="11"/>
  <c r="Z308" i="11"/>
  <c r="Z307" i="11"/>
  <c r="Z306" i="11"/>
  <c r="Z304" i="11"/>
  <c r="Z303" i="11"/>
  <c r="Z282" i="11"/>
  <c r="Z281" i="11"/>
  <c r="Z280" i="11"/>
  <c r="Z277" i="11"/>
  <c r="Z275" i="11"/>
  <c r="Z272" i="11"/>
  <c r="Z271" i="11"/>
  <c r="Z269" i="11"/>
  <c r="Z268" i="11"/>
  <c r="Z266" i="11"/>
  <c r="Z263" i="11"/>
  <c r="Z262" i="11"/>
  <c r="Z252" i="11"/>
  <c r="Z251" i="11" s="1"/>
  <c r="Z249" i="11"/>
  <c r="Z248" i="11" s="1"/>
  <c r="Z247" i="11" s="1"/>
  <c r="Z246" i="11"/>
  <c r="Z245" i="11" s="1"/>
  <c r="Z244" i="11"/>
  <c r="Z243" i="11"/>
  <c r="Z240" i="11"/>
  <c r="Z239" i="11"/>
  <c r="Z233" i="11"/>
  <c r="Z232" i="11" s="1"/>
  <c r="Z231" i="11" s="1"/>
  <c r="Z224" i="11"/>
  <c r="Z223" i="11" s="1"/>
  <c r="Z222" i="11" s="1"/>
  <c r="Z221" i="11"/>
  <c r="Z207" i="11"/>
  <c r="Z206" i="11"/>
  <c r="Z204" i="11"/>
  <c r="Z201" i="11"/>
  <c r="Z200" i="11"/>
  <c r="Z199" i="11"/>
  <c r="Z197" i="11"/>
  <c r="Z196" i="11" s="1"/>
  <c r="Z193" i="11"/>
  <c r="Z192" i="11" s="1"/>
  <c r="Z191" i="11" s="1"/>
  <c r="Z188" i="11" s="1"/>
  <c r="Z179" i="11"/>
  <c r="Z177" i="11"/>
  <c r="Z175" i="11"/>
  <c r="Z173" i="11"/>
  <c r="Z170" i="11"/>
  <c r="Z169" i="11" s="1"/>
  <c r="Z168" i="11"/>
  <c r="Z167" i="11"/>
  <c r="Z166" i="11"/>
  <c r="Z165" i="11"/>
  <c r="Z163" i="11"/>
  <c r="Z162" i="11"/>
  <c r="Z161" i="11"/>
  <c r="Z159" i="11"/>
  <c r="Z157" i="11"/>
  <c r="Z155" i="11"/>
  <c r="Z151" i="11"/>
  <c r="Z149" i="11"/>
  <c r="Z146" i="11"/>
  <c r="Z145" i="11"/>
  <c r="Z144" i="11"/>
  <c r="Z143" i="11"/>
  <c r="Z142" i="11"/>
  <c r="Z141" i="11"/>
  <c r="Z140" i="11"/>
  <c r="Z139" i="11"/>
  <c r="Z138" i="11"/>
  <c r="Z137" i="11"/>
  <c r="Z133" i="11"/>
  <c r="Z131" i="11"/>
  <c r="Z128" i="11"/>
  <c r="Z124" i="11"/>
  <c r="Z120" i="11"/>
  <c r="Z118" i="11"/>
  <c r="Z116" i="11"/>
  <c r="Z102" i="11"/>
  <c r="Z101" i="11"/>
  <c r="Z99" i="11"/>
  <c r="Z98" i="11"/>
  <c r="Z97" i="11"/>
  <c r="Z88" i="11"/>
  <c r="Z85" i="11"/>
  <c r="Z84" i="11"/>
  <c r="Z59" i="11"/>
  <c r="Z58" i="11" s="1"/>
  <c r="Z56" i="11"/>
  <c r="Z55" i="11" s="1"/>
  <c r="Z54" i="11"/>
  <c r="Z53" i="11" s="1"/>
  <c r="Z49" i="11"/>
  <c r="Z44" i="11"/>
  <c r="Z41" i="11"/>
  <c r="Z25" i="11"/>
  <c r="Z24" i="11"/>
  <c r="Z17" i="11"/>
  <c r="Z14" i="11"/>
  <c r="Z13" i="11"/>
  <c r="Z312" i="11" l="1"/>
  <c r="Z238" i="11"/>
  <c r="Z237" i="11" s="1"/>
  <c r="Z270" i="11"/>
  <c r="Z22" i="11"/>
  <c r="Z21" i="11" s="1"/>
  <c r="Z20" i="11" s="1"/>
  <c r="Z242" i="11"/>
  <c r="Z241" i="11" s="1"/>
  <c r="Z16" i="11"/>
  <c r="Z15" i="11" s="1"/>
  <c r="Z12" i="11"/>
  <c r="Z11" i="11" s="1"/>
  <c r="Z10" i="11" s="1"/>
  <c r="Z52" i="11"/>
  <c r="Z198" i="11"/>
  <c r="Z276" i="11"/>
  <c r="Z100" i="11"/>
  <c r="Z96" i="11"/>
  <c r="Z297" i="11"/>
  <c r="Z296" i="11" s="1"/>
  <c r="Z295" i="11" s="1"/>
  <c r="R255" i="11"/>
  <c r="R254" i="11" s="1"/>
  <c r="Z19" i="11" l="1"/>
  <c r="Z18" i="11" s="1"/>
  <c r="Z9" i="11" s="1"/>
  <c r="Z8" i="11" s="1"/>
  <c r="Z255" i="11"/>
  <c r="Z254" i="11" s="1"/>
  <c r="Z250" i="11" s="1"/>
  <c r="R355" i="11"/>
  <c r="R343" i="11"/>
  <c r="Z393" i="11"/>
  <c r="Z209" i="11"/>
  <c r="Z203" i="11" s="1"/>
  <c r="Y399" i="11"/>
  <c r="Z323" i="11"/>
  <c r="W51" i="11"/>
  <c r="W50" i="11" s="1"/>
  <c r="W46" i="11" s="1"/>
  <c r="W45" i="11" s="1"/>
  <c r="W27" i="11" s="1"/>
  <c r="Z93" i="11"/>
  <c r="Z92" i="11" s="1"/>
  <c r="Z195" i="11" l="1"/>
  <c r="Z194" i="11" s="1"/>
  <c r="R135" i="11"/>
  <c r="Z135" i="11" s="1"/>
  <c r="R134" i="11"/>
  <c r="Z134" i="11" s="1"/>
  <c r="R148" i="11"/>
  <c r="Z148" i="11" s="1"/>
  <c r="R147" i="11"/>
  <c r="Z147" i="11" s="1"/>
  <c r="Z260" i="11" l="1"/>
  <c r="R293" i="11" l="1"/>
  <c r="R292" i="11" s="1"/>
  <c r="Z294" i="11"/>
  <c r="Z293" i="11" s="1"/>
  <c r="Z292" i="11" s="1"/>
  <c r="R174" i="11" l="1"/>
  <c r="Z174" i="11" s="1"/>
  <c r="R126" i="11"/>
  <c r="Z126" i="11" s="1"/>
  <c r="V126" i="11"/>
  <c r="W126" i="11" s="1"/>
  <c r="W123" i="11" s="1"/>
  <c r="W122" i="11" s="1"/>
  <c r="W121" i="11" s="1"/>
  <c r="W112" i="11" s="1"/>
  <c r="W94" i="11" s="1"/>
  <c r="W26" i="11" s="1"/>
  <c r="W7" i="11" s="1"/>
  <c r="Z217" i="11" l="1"/>
  <c r="Z216" i="11" s="1"/>
  <c r="Z215" i="11" s="1"/>
  <c r="Z213" i="11"/>
  <c r="Z37" i="11"/>
  <c r="Z36" i="11" s="1"/>
  <c r="Z35" i="11"/>
  <c r="Z34" i="11" s="1"/>
  <c r="Z31" i="11"/>
  <c r="Z30" i="11" s="1"/>
  <c r="Z68" i="11"/>
  <c r="Z67" i="11" s="1"/>
  <c r="Z48" i="11"/>
  <c r="Z47" i="11" s="1"/>
  <c r="Z61" i="11"/>
  <c r="Z60" i="11" s="1"/>
  <c r="Z57" i="11" s="1"/>
  <c r="Z39" i="11"/>
  <c r="Z38" i="11" s="1"/>
  <c r="Z91" i="11"/>
  <c r="Z90" i="11" s="1"/>
  <c r="Z89" i="11" s="1"/>
  <c r="Z33" i="11" l="1"/>
  <c r="Z29" i="11"/>
  <c r="Z28" i="11" s="1"/>
  <c r="R394" i="11"/>
  <c r="Z394" i="11" s="1"/>
  <c r="Z392" i="11"/>
  <c r="V389" i="11"/>
  <c r="W389" i="11" s="1"/>
  <c r="R389" i="11"/>
  <c r="Z389" i="11" s="1"/>
  <c r="V387" i="11"/>
  <c r="W387" i="11" s="1"/>
  <c r="R387" i="11"/>
  <c r="Z387" i="11" s="1"/>
  <c r="V385" i="11"/>
  <c r="W385" i="11" s="1"/>
  <c r="R385" i="11"/>
  <c r="Z385" i="11" s="1"/>
  <c r="R378" i="11"/>
  <c r="R374" i="11"/>
  <c r="Z374" i="11" s="1"/>
  <c r="R373" i="11"/>
  <c r="Z373" i="11" s="1"/>
  <c r="R372" i="11"/>
  <c r="Z372" i="11" s="1"/>
  <c r="R371" i="11"/>
  <c r="Z371" i="11" s="1"/>
  <c r="R370" i="11"/>
  <c r="Z370" i="11" s="1"/>
  <c r="R369" i="11"/>
  <c r="Z369" i="11" s="1"/>
  <c r="R358" i="11"/>
  <c r="R360" i="11"/>
  <c r="W368" i="11" l="1"/>
  <c r="W367" i="11" s="1"/>
  <c r="W366" i="11" s="1"/>
  <c r="W365" i="11" s="1"/>
  <c r="Z368" i="11"/>
  <c r="Z367" i="11" s="1"/>
  <c r="Z366" i="11" s="1"/>
  <c r="Z365" i="11" s="1"/>
  <c r="R368" i="11"/>
  <c r="R367" i="11" s="1"/>
  <c r="R366" i="11" s="1"/>
  <c r="R365" i="11" s="1"/>
  <c r="R357" i="11"/>
  <c r="R356" i="11" s="1"/>
  <c r="Z341" i="11" l="1"/>
  <c r="Z340" i="11" s="1"/>
  <c r="R172" i="11"/>
  <c r="Z172" i="11" s="1"/>
  <c r="R178" i="11" l="1"/>
  <c r="Z178" i="11" s="1"/>
  <c r="R176" i="11"/>
  <c r="Z176" i="11" s="1"/>
  <c r="R164" i="11"/>
  <c r="Z164" i="11" s="1"/>
  <c r="R160" i="11"/>
  <c r="Z160" i="11" s="1"/>
  <c r="R158" i="11"/>
  <c r="Z158" i="11" s="1"/>
  <c r="R156" i="11"/>
  <c r="Z156" i="11" s="1"/>
  <c r="R154" i="11"/>
  <c r="Z154" i="11" s="1"/>
  <c r="R136" i="11"/>
  <c r="Z136" i="11" s="1"/>
  <c r="Z132" i="11"/>
  <c r="Z130" i="11"/>
  <c r="R117" i="11"/>
  <c r="Z117" i="11" s="1"/>
  <c r="Z115" i="11"/>
  <c r="Z171" i="11" l="1"/>
  <c r="R171" i="11"/>
  <c r="Z43" i="11"/>
  <c r="Z42" i="11" s="1"/>
  <c r="Z32" i="11" s="1"/>
  <c r="R305" i="11"/>
  <c r="R406" i="11"/>
  <c r="Z406" i="11" s="1"/>
  <c r="R405" i="11"/>
  <c r="Z305" i="11" l="1"/>
  <c r="Z302" i="11" s="1"/>
  <c r="Z301" i="11" s="1"/>
  <c r="Z300" i="11" s="1"/>
  <c r="R302" i="11"/>
  <c r="Z405" i="11"/>
  <c r="V418" i="11"/>
  <c r="Z339" i="11"/>
  <c r="Z338" i="11" s="1"/>
  <c r="Z337" i="11" s="1"/>
  <c r="R150" i="11" l="1"/>
  <c r="Z150" i="11" s="1"/>
  <c r="Z343" i="11" l="1"/>
  <c r="Z342" i="11" s="1"/>
  <c r="Z336" i="11" s="1"/>
  <c r="R340" i="11"/>
  <c r="R226" i="11"/>
  <c r="R214" i="11"/>
  <c r="Z77" i="11"/>
  <c r="Z76" i="11" s="1"/>
  <c r="Z75" i="11" s="1"/>
  <c r="R342" i="11" l="1"/>
  <c r="V408" i="11" l="1"/>
  <c r="W408" i="11" s="1"/>
  <c r="V399" i="11"/>
  <c r="W399" i="11" s="1"/>
  <c r="W398" i="11" s="1"/>
  <c r="W397" i="11" s="1"/>
  <c r="W396" i="11" s="1"/>
  <c r="W395" i="11" s="1"/>
  <c r="W364" i="11" s="1"/>
  <c r="W363" i="11" s="1"/>
  <c r="W362" i="11" s="1"/>
  <c r="Z352" i="11"/>
  <c r="Z351" i="11" s="1"/>
  <c r="Z350" i="11"/>
  <c r="Z349" i="11" s="1"/>
  <c r="Z348" i="11"/>
  <c r="Z347" i="11" s="1"/>
  <c r="V318" i="11"/>
  <c r="W318" i="11" s="1"/>
  <c r="W316" i="11" s="1"/>
  <c r="W311" i="11" s="1"/>
  <c r="W299" i="11" s="1"/>
  <c r="W256" i="11" s="1"/>
  <c r="W228" i="11" s="1"/>
  <c r="W227" i="11" s="1"/>
  <c r="Z291" i="11"/>
  <c r="Z290" i="11" s="1"/>
  <c r="Z289" i="11" s="1"/>
  <c r="Z288" i="11" s="1"/>
  <c r="Z287" i="11" s="1"/>
  <c r="Z236" i="11"/>
  <c r="Z235" i="11" s="1"/>
  <c r="Z234" i="11" s="1"/>
  <c r="Z230" i="11" s="1"/>
  <c r="Z229" i="11" s="1"/>
  <c r="Z226" i="11"/>
  <c r="Z225" i="11" s="1"/>
  <c r="Z220" i="11"/>
  <c r="Z219" i="11" s="1"/>
  <c r="Z218" i="11" s="1"/>
  <c r="Z214" i="11"/>
  <c r="Z212" i="11" s="1"/>
  <c r="Z211" i="11" s="1"/>
  <c r="Z187" i="11"/>
  <c r="Z111" i="11"/>
  <c r="Z110" i="11" s="1"/>
  <c r="Z109" i="11" s="1"/>
  <c r="Z108" i="11" s="1"/>
  <c r="Z107" i="11" s="1"/>
  <c r="Z106" i="11" s="1"/>
  <c r="Z105" i="11"/>
  <c r="Z104" i="11" s="1"/>
  <c r="Z103" i="11" s="1"/>
  <c r="Z95" i="11" s="1"/>
  <c r="Z83" i="11"/>
  <c r="Z71" i="11"/>
  <c r="Z70" i="11" s="1"/>
  <c r="Z69" i="11" s="1"/>
  <c r="Z64" i="11"/>
  <c r="Z63" i="11" s="1"/>
  <c r="Z62" i="11" s="1"/>
  <c r="Z51" i="11"/>
  <c r="Z50" i="11" s="1"/>
  <c r="Z46" i="11" s="1"/>
  <c r="Z346" i="11" l="1"/>
  <c r="Z345" i="11" s="1"/>
  <c r="Z344" i="11" s="1"/>
  <c r="Z45" i="11"/>
  <c r="Z210" i="11"/>
  <c r="R47" i="11"/>
  <c r="R399" i="11"/>
  <c r="Z399" i="11" s="1"/>
  <c r="R409" i="11"/>
  <c r="Z409" i="11" s="1"/>
  <c r="R411" i="11"/>
  <c r="Z411" i="11" s="1"/>
  <c r="R87" i="11" l="1"/>
  <c r="Z86" i="11"/>
  <c r="R320" i="11"/>
  <c r="Z320" i="11" s="1"/>
  <c r="R312" i="11"/>
  <c r="R286" i="11"/>
  <c r="Z286" i="11" s="1"/>
  <c r="Z285" i="11" s="1"/>
  <c r="Z284" i="11" s="1"/>
  <c r="Z283" i="11" s="1"/>
  <c r="R153" i="11"/>
  <c r="Z153" i="11" s="1"/>
  <c r="R152" i="11"/>
  <c r="Z152" i="11" s="1"/>
  <c r="R125" i="11"/>
  <c r="Z125" i="11" s="1"/>
  <c r="Z87" i="11" l="1"/>
  <c r="Z82" i="11" s="1"/>
  <c r="Z81" i="11" s="1"/>
  <c r="R119" i="11"/>
  <c r="R129" i="11"/>
  <c r="Z129" i="11" s="1"/>
  <c r="Z123" i="11" s="1"/>
  <c r="Z122" i="11" s="1"/>
  <c r="Z121" i="11" s="1"/>
  <c r="R186" i="11"/>
  <c r="Z186" i="11" s="1"/>
  <c r="Z185" i="11" s="1"/>
  <c r="R325" i="11"/>
  <c r="Z325" i="11" s="1"/>
  <c r="R114" i="11" l="1"/>
  <c r="Z119" i="11"/>
  <c r="Z114" i="11" s="1"/>
  <c r="Z113" i="11" s="1"/>
  <c r="Z321" i="11"/>
  <c r="R335" i="11"/>
  <c r="Z335" i="11" s="1"/>
  <c r="Z334" i="11" s="1"/>
  <c r="Z333" i="11" s="1"/>
  <c r="Z332" i="11" s="1"/>
  <c r="R331" i="11"/>
  <c r="Z331" i="11" s="1"/>
  <c r="Z329" i="11" s="1"/>
  <c r="Z328" i="11" s="1"/>
  <c r="Z327" i="11" s="1"/>
  <c r="R318" i="11"/>
  <c r="Z318" i="11" s="1"/>
  <c r="R319" i="11"/>
  <c r="Z319" i="11" s="1"/>
  <c r="R317" i="11"/>
  <c r="Z317" i="11" s="1"/>
  <c r="Z316" i="11" s="1"/>
  <c r="Z311" i="11" s="1"/>
  <c r="Z299" i="11" s="1"/>
  <c r="R402" i="11"/>
  <c r="Z402" i="11" s="1"/>
  <c r="R408" i="11"/>
  <c r="Z408" i="11" s="1"/>
  <c r="R401" i="11"/>
  <c r="Z401" i="11" s="1"/>
  <c r="R400" i="11"/>
  <c r="Z400" i="11" s="1"/>
  <c r="Z398" i="11" s="1"/>
  <c r="Z397" i="11" s="1"/>
  <c r="Z396" i="11" s="1"/>
  <c r="Z395" i="11" s="1"/>
  <c r="Z364" i="11" s="1"/>
  <c r="Z363" i="11" s="1"/>
  <c r="Z362" i="11" s="1"/>
  <c r="R397" i="11" l="1"/>
  <c r="R396" i="11" s="1"/>
  <c r="R395" i="11" s="1"/>
  <c r="R316" i="11"/>
  <c r="R261" i="11"/>
  <c r="Z261" i="11" s="1"/>
  <c r="Z259" i="11" s="1"/>
  <c r="Z258" i="11" s="1"/>
  <c r="Z257" i="11" l="1"/>
  <c r="Z256" i="11" s="1"/>
  <c r="Z228" i="11" s="1"/>
  <c r="Z227" i="11" s="1"/>
  <c r="Z80" i="11"/>
  <c r="Z79" i="11" s="1"/>
  <c r="Z78" i="11" s="1"/>
  <c r="Z72" i="11" s="1"/>
  <c r="Z27" i="11" s="1"/>
  <c r="R238" i="11" l="1"/>
  <c r="R235" i="11"/>
  <c r="R232" i="11"/>
  <c r="R219" i="11"/>
  <c r="R181" i="11"/>
  <c r="Z180" i="11" s="1"/>
  <c r="Z112" i="11" s="1"/>
  <c r="Z94" i="11" s="1"/>
  <c r="Z26" i="11" s="1"/>
  <c r="Z7" i="11" s="1"/>
  <c r="R100" i="11"/>
  <c r="R237" i="11" l="1"/>
  <c r="R234" i="11"/>
  <c r="M352" i="11"/>
  <c r="M350" i="11"/>
  <c r="M348" i="11"/>
  <c r="E3" i="12" l="1"/>
  <c r="F3" i="12" s="1"/>
  <c r="E4" i="12"/>
  <c r="F4" i="12" s="1"/>
  <c r="E5" i="12"/>
  <c r="F5" i="12" s="1"/>
  <c r="E6" i="12"/>
  <c r="F6" i="12" s="1"/>
  <c r="E7" i="12"/>
  <c r="F7" i="12" s="1"/>
  <c r="E8" i="12"/>
  <c r="F8" i="12" s="1"/>
  <c r="E9" i="12"/>
  <c r="F9" i="12" s="1"/>
  <c r="E10" i="12"/>
  <c r="F10" i="12" s="1"/>
  <c r="E11" i="12"/>
  <c r="F11" i="12" s="1"/>
  <c r="R259" i="11" l="1"/>
  <c r="R276" i="11"/>
  <c r="R248" i="11" l="1"/>
  <c r="R334" i="11" l="1"/>
  <c r="R364" i="11"/>
  <c r="R353" i="11"/>
  <c r="R351" i="11"/>
  <c r="R349" i="11"/>
  <c r="R347" i="11"/>
  <c r="R338" i="11"/>
  <c r="R337" i="11" s="1"/>
  <c r="R336" i="11" s="1"/>
  <c r="R329" i="11"/>
  <c r="R297" i="11"/>
  <c r="R290" i="11"/>
  <c r="R289" i="11" s="1"/>
  <c r="R288" i="11" s="1"/>
  <c r="R285" i="11"/>
  <c r="R270" i="11"/>
  <c r="R247" i="11"/>
  <c r="R245" i="11"/>
  <c r="R231" i="11"/>
  <c r="R218" i="11"/>
  <c r="R216" i="11"/>
  <c r="R212" i="11"/>
  <c r="R196" i="11"/>
  <c r="R195" i="11" s="1"/>
  <c r="R185" i="11"/>
  <c r="R110" i="11"/>
  <c r="R96" i="11"/>
  <c r="R92" i="11"/>
  <c r="R90" i="11"/>
  <c r="R79" i="11"/>
  <c r="R70" i="11"/>
  <c r="R67" i="11"/>
  <c r="R65" i="11"/>
  <c r="R63" i="11"/>
  <c r="R60" i="11"/>
  <c r="R58" i="11"/>
  <c r="R55" i="11"/>
  <c r="R53" i="11"/>
  <c r="R50" i="11"/>
  <c r="R46" i="11" s="1"/>
  <c r="R36" i="11"/>
  <c r="R34" i="11"/>
  <c r="R30" i="11"/>
  <c r="R346" i="11" l="1"/>
  <c r="R345" i="11" s="1"/>
  <c r="R344" i="11" s="1"/>
  <c r="R211" i="11"/>
  <c r="R241" i="11"/>
  <c r="R230" i="11" s="1"/>
  <c r="R69" i="11"/>
  <c r="R284" i="11"/>
  <c r="R328" i="11"/>
  <c r="R29" i="11"/>
  <c r="R78" i="11"/>
  <c r="R109" i="11"/>
  <c r="R215" i="11"/>
  <c r="R296" i="11"/>
  <c r="R333" i="11"/>
  <c r="R33" i="11"/>
  <c r="R258" i="11"/>
  <c r="R180" i="11"/>
  <c r="R169" i="11" s="1"/>
  <c r="R52" i="11"/>
  <c r="R311" i="11"/>
  <c r="R301" i="11" s="1"/>
  <c r="R250" i="11"/>
  <c r="R57" i="11"/>
  <c r="R229" i="11" l="1"/>
  <c r="R108" i="11"/>
  <c r="R107" i="11" s="1"/>
  <c r="R363" i="11"/>
  <c r="R332" i="11"/>
  <c r="R28" i="11"/>
  <c r="R327" i="11"/>
  <c r="R257" i="11"/>
  <c r="R295" i="11"/>
  <c r="R287" i="11" s="1"/>
  <c r="R283" i="11"/>
  <c r="R300" i="11"/>
  <c r="R106" i="11" l="1"/>
  <c r="R104" i="11" s="1"/>
  <c r="R103" i="11" s="1"/>
  <c r="R95" i="11" s="1"/>
  <c r="R299" i="11"/>
  <c r="R362" i="11"/>
  <c r="R256" i="11" l="1"/>
  <c r="R228" i="11" l="1"/>
  <c r="R227" i="11" s="1"/>
  <c r="R225" i="11" l="1"/>
  <c r="R223" i="11" s="1"/>
  <c r="R222" i="11" s="1"/>
  <c r="R89" i="11"/>
  <c r="R82" i="11" s="1"/>
  <c r="R81" i="11" s="1"/>
  <c r="R76" i="11"/>
  <c r="R75" i="11" s="1"/>
  <c r="R62" i="11"/>
  <c r="R45" i="11" s="1"/>
  <c r="R42" i="11"/>
  <c r="R38" i="11" s="1"/>
  <c r="R72" i="11" l="1"/>
  <c r="R210" i="11"/>
  <c r="R123" i="11"/>
  <c r="R122" i="11" s="1"/>
  <c r="R121" i="11" s="1"/>
  <c r="R113" i="11" s="1"/>
  <c r="R32" i="11"/>
  <c r="R192" i="11" l="1"/>
  <c r="R191" i="11" s="1"/>
  <c r="R188" i="11" s="1"/>
  <c r="R194" i="11"/>
  <c r="R27" i="11"/>
  <c r="R112" i="11" l="1"/>
  <c r="R94" i="11" s="1"/>
  <c r="R26" i="11" s="1"/>
  <c r="R21" i="1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N408" authorId="3" shapeId="0">
      <text>
        <r>
          <rPr>
            <sz val="9"/>
            <color indexed="81"/>
            <rFont val="Tahoma"/>
            <family val="2"/>
          </rPr>
          <t xml:space="preserve">Oficio: 97846
Se incluye: Codigos UNSPSC
Fecha estimada
Mes publicacion
Duracion 
Modalidad
Si require vigencia futura
Valor vigencia futura
</t>
        </r>
      </text>
    </comment>
    <comment ref="O408" authorId="3" shapeId="0">
      <text>
        <r>
          <rPr>
            <sz val="9"/>
            <color indexed="81"/>
            <rFont val="Tahoma"/>
            <family val="2"/>
          </rPr>
          <t xml:space="preserve">Oficio: 97846
Se incluye: Codigos UNSPSC
Fecha estimada
Mes publicacion
Duracion 
Modalidad
Si require vigencia futura
Valor vigencia futura
</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Q408" authorId="3" shapeId="0">
      <text>
        <r>
          <rPr>
            <b/>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<sst xmlns="http://schemas.openxmlformats.org/spreadsheetml/2006/main" count="169015" uniqueCount="113517">
  <si>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</si>
  <si>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</si>
  <si>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</si>
  <si>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</si>
  <si>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</si>
  <si>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</si>
  <si>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</si>
  <si>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</si>
  <si>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</si>
  <si>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</si>
  <si>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</si>
  <si>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</si>
  <si>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</si>
  <si>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</si>
  <si>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</si>
  <si>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</si>
  <si>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</si>
  <si>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</si>
  <si>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</si>
  <si>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</si>
  <si>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</si>
  <si>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</si>
  <si>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</si>
  <si>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</si>
  <si>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</si>
  <si>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</si>
  <si>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</si>
  <si>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</si>
  <si>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</si>
  <si>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</si>
  <si>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</si>
  <si>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</si>
  <si>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</si>
  <si>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</si>
  <si>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</si>
  <si>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</si>
  <si>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</si>
  <si>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</si>
  <si>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</si>
  <si>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</si>
  <si>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</si>
  <si>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</si>
  <si>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</si>
  <si>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</si>
  <si>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</si>
  <si>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</si>
  <si>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</si>
  <si>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</si>
  <si>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</si>
  <si>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</si>
  <si>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</si>
  <si>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</si>
  <si>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</si>
  <si>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</si>
  <si>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</si>
  <si>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</si>
  <si>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</si>
  <si>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</si>
  <si>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</si>
  <si>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</si>
  <si>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</si>
  <si>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</si>
  <si>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</si>
  <si>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</si>
  <si>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</si>
  <si>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</si>
  <si>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</si>
  <si>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</si>
  <si>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</si>
  <si>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</si>
  <si>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</si>
  <si>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</si>
  <si>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</si>
  <si>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</si>
  <si>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</si>
  <si>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</si>
  <si>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</si>
  <si>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</si>
  <si>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</si>
  <si>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</si>
  <si>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</si>
  <si>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</si>
  <si>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</si>
  <si>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</si>
  <si>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</si>
  <si>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</si>
  <si>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</si>
  <si>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</si>
  <si>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</si>
  <si>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</si>
  <si>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</si>
  <si>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</si>
  <si>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</si>
  <si>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</si>
  <si>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</si>
  <si>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</si>
  <si>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</si>
  <si>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</si>
  <si>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</si>
  <si>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</si>
  <si>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</si>
  <si>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</si>
  <si>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</si>
  <si>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</si>
  <si>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</si>
  <si>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</si>
  <si>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</si>
  <si>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</si>
  <si>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</si>
  <si>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</si>
  <si>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</si>
  <si>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</si>
  <si>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</si>
  <si>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</si>
  <si>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</si>
  <si>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</si>
  <si>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</si>
  <si>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</si>
  <si>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</si>
  <si>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</si>
  <si>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</si>
  <si>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</si>
  <si>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</si>
  <si>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</si>
  <si>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</si>
  <si>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</si>
  <si>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</si>
  <si>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</si>
  <si>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</si>
  <si>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</si>
  <si>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</si>
  <si>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</si>
  <si>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</si>
  <si>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</si>
  <si>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</si>
  <si>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</si>
  <si>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</si>
  <si>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</si>
  <si>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</si>
  <si>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</si>
  <si>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</si>
  <si>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</si>
  <si>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</si>
  <si>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</si>
  <si>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</si>
  <si>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</si>
  <si>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</si>
  <si>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</si>
  <si>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</si>
  <si>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</si>
  <si>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</si>
  <si>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</si>
  <si>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</si>
  <si>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</si>
  <si>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</si>
  <si>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</si>
  <si>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</si>
  <si>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</si>
  <si>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</si>
  <si>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</si>
  <si>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</si>
  <si>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</si>
  <si>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</si>
  <si>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</si>
  <si>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</si>
  <si>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</si>
  <si>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</si>
  <si>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</si>
  <si>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</si>
  <si>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</si>
  <si>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</si>
  <si>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</si>
  <si>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</si>
  <si>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</si>
  <si>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</si>
  <si>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</si>
  <si>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</si>
  <si>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</si>
  <si>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</si>
  <si>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</si>
  <si>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</si>
  <si>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</si>
  <si>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</si>
  <si>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</si>
  <si>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</si>
  <si>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</si>
  <si>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</si>
  <si>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</si>
  <si>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</si>
  <si>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</si>
  <si>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</si>
  <si>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</si>
  <si>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</si>
  <si>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</si>
  <si>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</si>
  <si>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</si>
  <si>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</si>
  <si>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</si>
  <si>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</si>
  <si>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</si>
  <si>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</si>
  <si>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</si>
  <si>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</si>
  <si>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</si>
  <si>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</si>
  <si>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</si>
  <si>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</si>
  <si>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</si>
  <si>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</si>
  <si>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</si>
  <si>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</si>
  <si>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</si>
  <si>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</si>
  <si>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</si>
  <si>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</si>
  <si>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</si>
  <si>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</si>
  <si>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</si>
  <si>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</si>
  <si>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</si>
  <si>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</si>
  <si>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</si>
  <si>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</si>
  <si>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</si>
  <si>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</si>
  <si>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</si>
  <si>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</si>
  <si>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</si>
  <si>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</si>
  <si>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</si>
  <si>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</si>
  <si>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</si>
  <si>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</si>
  <si>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</si>
  <si>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</si>
  <si>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</si>
  <si>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</si>
  <si>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</si>
  <si>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</si>
  <si>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</si>
  <si>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</si>
  <si>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</si>
  <si>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</si>
  <si>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</si>
  <si>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</si>
  <si>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</si>
  <si>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</si>
  <si>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</si>
  <si>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</si>
  <si>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</si>
  <si>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</si>
  <si>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</si>
  <si>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</si>
  <si>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</si>
  <si>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</si>
  <si>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</si>
  <si>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</si>
  <si>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</si>
  <si>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</si>
  <si>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</si>
  <si>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</si>
  <si>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</si>
  <si>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</si>
  <si>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</si>
  <si>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</si>
  <si>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</si>
  <si>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</si>
  <si>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</si>
  <si>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</si>
  <si>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</si>
  <si>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</si>
  <si>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</si>
  <si>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</si>
  <si>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</si>
  <si>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</si>
  <si>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</si>
  <si>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</si>
  <si>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</si>
  <si>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</si>
  <si>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</si>
  <si>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</si>
  <si>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</si>
  <si>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</si>
  <si>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</si>
  <si>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</si>
  <si>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</si>
  <si>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</si>
  <si>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</si>
  <si>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</si>
  <si>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</si>
  <si>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</si>
  <si>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</si>
  <si>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</si>
  <si>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</si>
  <si>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</si>
  <si>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</si>
  <si>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</si>
  <si>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</si>
  <si>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</si>
  <si>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</si>
  <si>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</si>
  <si>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</si>
  <si>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</si>
  <si>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</si>
  <si>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</si>
  <si>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</si>
  <si>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</si>
  <si>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</si>
  <si>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</si>
  <si>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</si>
  <si>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</si>
  <si>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</si>
  <si>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</si>
  <si>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</si>
  <si>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</si>
  <si>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</si>
  <si>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</si>
  <si>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</si>
  <si>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</si>
  <si>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</si>
  <si>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</si>
  <si>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</si>
  <si>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</si>
  <si>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</si>
  <si>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</si>
  <si>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</si>
  <si>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</si>
  <si>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</si>
  <si>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</si>
  <si>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</si>
  <si>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</si>
  <si>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</si>
  <si>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</si>
  <si>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</si>
  <si>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</si>
  <si>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</si>
  <si>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</si>
  <si>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</si>
  <si>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</si>
  <si>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</si>
  <si>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</si>
  <si>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</si>
  <si>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</si>
  <si>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</si>
  <si>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</si>
  <si>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</si>
  <si>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</si>
  <si>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</si>
  <si>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</si>
  <si>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</si>
  <si>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</si>
  <si>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</si>
  <si>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</si>
  <si>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</si>
  <si>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</si>
  <si>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</si>
  <si>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</si>
  <si>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</si>
  <si>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</si>
  <si>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</si>
  <si>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</si>
  <si>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</si>
  <si>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</si>
  <si>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</si>
  <si>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</si>
  <si>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</si>
  <si>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</si>
  <si>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</si>
  <si>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</si>
  <si>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</si>
  <si>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</si>
  <si>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</si>
  <si>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</si>
  <si>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</si>
  <si>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</si>
  <si>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</si>
  <si>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</si>
  <si>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</si>
  <si>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</si>
  <si>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</si>
  <si>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</si>
  <si>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</si>
  <si>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</si>
  <si>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</si>
  <si>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</si>
  <si>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</si>
  <si>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</si>
  <si>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</si>
  <si>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</si>
  <si>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</si>
  <si>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</si>
  <si>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</si>
  <si>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</si>
  <si>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</si>
  <si>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</si>
  <si>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</si>
  <si>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</si>
  <si>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</si>
  <si>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</si>
  <si>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</si>
  <si>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</si>
  <si>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</si>
  <si>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</si>
  <si>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</si>
  <si>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</si>
  <si>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</si>
  <si>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</si>
  <si>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</si>
  <si>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</si>
  <si>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</si>
  <si>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</si>
  <si>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</si>
  <si>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</si>
  <si>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</si>
  <si>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</si>
  <si>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</si>
  <si>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</si>
  <si>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</si>
  <si>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</si>
  <si>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</si>
  <si>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</si>
  <si>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</si>
  <si>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</si>
  <si>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</si>
  <si>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</si>
  <si>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</si>
  <si>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</si>
  <si>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</si>
  <si>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</si>
  <si>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</si>
  <si>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</si>
  <si>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</si>
  <si>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</si>
  <si>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</si>
  <si>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</si>
  <si>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</si>
  <si>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</si>
  <si>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</si>
  <si>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</si>
  <si>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</si>
  <si>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</si>
  <si>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</si>
  <si>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</si>
  <si>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</si>
  <si>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</si>
  <si>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</si>
  <si>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</si>
  <si>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</si>
  <si>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</si>
  <si>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</si>
  <si>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</si>
  <si>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</si>
  <si>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</si>
  <si>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</si>
  <si>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</si>
  <si>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</si>
  <si>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</si>
  <si>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</si>
  <si>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</si>
  <si>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</si>
  <si>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</si>
  <si>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</si>
  <si>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</si>
  <si>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</si>
  <si>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</si>
  <si>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</si>
  <si>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</si>
  <si>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</si>
  <si>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</si>
  <si>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</si>
  <si>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</si>
  <si>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</si>
  <si>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</si>
  <si>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</si>
  <si>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</si>
  <si>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</si>
  <si>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</si>
  <si>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</si>
  <si>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</si>
  <si>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</si>
  <si>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</si>
  <si>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</si>
  <si>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</si>
  <si>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</si>
  <si>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</si>
  <si>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</si>
  <si>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</si>
  <si>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</si>
  <si>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</si>
  <si>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</si>
  <si>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</si>
  <si>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</si>
  <si>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</si>
  <si>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</si>
  <si>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</si>
  <si>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</si>
  <si>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</si>
  <si>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</si>
  <si>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</si>
  <si>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</si>
  <si>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</si>
  <si>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</si>
  <si>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</si>
  <si>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</si>
  <si>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</si>
  <si>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</si>
  <si>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</si>
  <si>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</si>
  <si>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</si>
  <si>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</si>
  <si>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</si>
  <si>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</si>
  <si>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</si>
  <si>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</si>
  <si>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</si>
  <si>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</si>
  <si>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</si>
  <si>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</si>
  <si>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</si>
  <si>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</si>
  <si>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</si>
  <si>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</si>
  <si>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</si>
  <si>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</si>
  <si>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</si>
  <si>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</si>
  <si>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</si>
  <si>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</si>
  <si>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</si>
  <si>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</si>
  <si>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</si>
  <si>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</si>
  <si>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</si>
  <si>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</si>
  <si>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</si>
  <si>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</si>
  <si>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</si>
  <si>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</si>
  <si>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</si>
  <si>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</si>
  <si>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</si>
  <si>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</si>
  <si>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</si>
  <si>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</si>
  <si>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</si>
  <si>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</si>
  <si>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</si>
  <si>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</si>
  <si>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</si>
  <si>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</si>
  <si>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</si>
  <si>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</si>
  <si>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</si>
  <si>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</si>
  <si>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</si>
  <si>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</si>
  <si>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</si>
  <si>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</si>
  <si>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</si>
  <si>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</si>
  <si>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</si>
  <si>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</si>
  <si>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</si>
  <si>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</si>
  <si>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</si>
  <si>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</si>
  <si>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</si>
  <si>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</si>
  <si>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</si>
  <si>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</si>
  <si>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</si>
  <si>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</si>
  <si>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</si>
  <si>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</si>
  <si>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</si>
  <si>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</si>
  <si>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</si>
  <si>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</si>
  <si>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</si>
  <si>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</si>
  <si>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</si>
  <si>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</si>
  <si>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</si>
  <si>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</si>
  <si>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</si>
  <si>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</si>
  <si>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</si>
  <si>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</si>
  <si>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</si>
  <si>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</si>
  <si>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</si>
  <si>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</si>
  <si>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</si>
  <si>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</si>
  <si>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</si>
  <si>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</si>
  <si>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</si>
  <si>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</si>
  <si>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</si>
  <si>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</si>
  <si>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</si>
  <si>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</si>
  <si>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</si>
  <si>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</si>
  <si>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</si>
  <si>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</si>
  <si>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</si>
  <si>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</si>
  <si>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</si>
  <si>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</si>
  <si>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</si>
  <si>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</si>
  <si>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</si>
  <si>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</si>
  <si>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</si>
  <si>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</si>
  <si>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</si>
  <si>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</si>
  <si>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</si>
  <si>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</si>
  <si>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</si>
  <si>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</si>
  <si>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</si>
  <si>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</si>
  <si>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</si>
  <si>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</si>
  <si>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</si>
  <si>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</si>
  <si>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</si>
  <si>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</si>
  <si>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</si>
  <si>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</si>
  <si>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</si>
  <si>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</si>
  <si>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</si>
  <si>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</si>
  <si>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</si>
  <si>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</si>
  <si>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</si>
  <si>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</si>
  <si>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</si>
  <si>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</si>
  <si>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</si>
  <si>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</si>
  <si>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</si>
  <si>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</si>
  <si>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</si>
  <si>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</si>
  <si>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</si>
  <si>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</si>
  <si>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</si>
  <si>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</si>
  <si>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</si>
  <si>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</si>
  <si>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</si>
  <si>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</si>
  <si>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</si>
  <si>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</si>
  <si>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</si>
  <si>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</si>
  <si>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</si>
  <si>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</si>
  <si>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</si>
  <si>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</si>
  <si>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</si>
  <si>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</si>
  <si>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</si>
  <si>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</si>
  <si>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</si>
  <si>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</si>
  <si>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</si>
  <si>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</si>
  <si>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</si>
  <si>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</si>
  <si>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</si>
  <si>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</si>
  <si>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</si>
  <si>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</si>
  <si>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</si>
  <si>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</si>
  <si>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</si>
  <si>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</si>
  <si>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</si>
  <si>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</si>
  <si>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</si>
  <si>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</si>
  <si>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</si>
  <si>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</si>
  <si>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</si>
  <si>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</si>
  <si>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</si>
  <si>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</si>
  <si>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</si>
  <si>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</si>
  <si>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</si>
  <si>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</si>
  <si>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</si>
  <si>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</si>
  <si>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</si>
  <si>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</si>
  <si>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</si>
  <si>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</si>
  <si>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</si>
  <si>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</si>
  <si>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</si>
  <si>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</si>
  <si>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</si>
  <si>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</si>
  <si>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</si>
  <si>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</si>
  <si>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</si>
  <si>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</si>
  <si>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</si>
  <si>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</si>
  <si>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</si>
  <si>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</si>
  <si>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</si>
  <si>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</si>
  <si>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</si>
  <si>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</si>
  <si>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</si>
  <si>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</si>
  <si>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</si>
  <si>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</si>
  <si>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</si>
  <si>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</si>
  <si>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</si>
  <si>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</si>
  <si>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</si>
  <si>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</si>
  <si>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</si>
  <si>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</si>
  <si>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</si>
  <si>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</si>
  <si>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</si>
  <si>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</si>
  <si>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</si>
  <si>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</si>
  <si>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</si>
  <si>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</si>
  <si>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</si>
  <si>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</si>
  <si>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</si>
  <si>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</si>
  <si>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</si>
  <si>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</si>
  <si>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</si>
  <si>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</si>
  <si>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</si>
  <si>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</si>
  <si>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</si>
  <si>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</si>
  <si>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</si>
  <si>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</si>
  <si>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</si>
  <si>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</si>
  <si>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</si>
  <si>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</si>
  <si>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</si>
  <si>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</si>
  <si>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</si>
  <si>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</si>
  <si>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</si>
  <si>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</si>
  <si>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</si>
  <si>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</si>
  <si>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</si>
  <si>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</si>
  <si>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</si>
  <si>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</si>
  <si>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</si>
  <si>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</si>
  <si>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</si>
  <si>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</si>
  <si>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</si>
  <si>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</si>
  <si>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</si>
  <si>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</si>
  <si>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</si>
  <si>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</si>
  <si>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</si>
  <si>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</si>
  <si>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</si>
  <si>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</si>
  <si>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</si>
  <si>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</si>
  <si>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</si>
  <si>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</si>
  <si>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</si>
  <si>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</si>
  <si>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</si>
  <si>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</si>
  <si>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</si>
  <si>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</si>
  <si>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</si>
  <si>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</si>
  <si>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</si>
  <si>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</si>
  <si>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</si>
  <si>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</si>
  <si>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</si>
  <si>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</si>
  <si>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</si>
  <si>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</si>
  <si>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</si>
  <si>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</si>
  <si>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</si>
  <si>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</si>
  <si>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</si>
  <si>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</si>
  <si>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</si>
  <si>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</si>
  <si>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</si>
  <si>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</si>
  <si>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</si>
  <si>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</si>
  <si>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</si>
  <si>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</si>
  <si>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</si>
  <si>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</si>
  <si>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</si>
  <si>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</si>
  <si>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</si>
  <si>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</si>
  <si>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</si>
  <si>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</si>
  <si>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</si>
  <si>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</si>
  <si>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</si>
  <si>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</si>
  <si>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</si>
  <si>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</si>
  <si>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</si>
  <si>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</si>
  <si>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</si>
  <si>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</si>
  <si>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</si>
  <si>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</si>
  <si>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</si>
  <si>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</si>
  <si>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</si>
  <si>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</si>
  <si>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</si>
  <si>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</si>
  <si>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</si>
  <si>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</si>
  <si>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</si>
  <si>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</si>
  <si>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</si>
  <si>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</si>
  <si>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</si>
  <si>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</si>
  <si>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</si>
  <si>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</si>
  <si>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</si>
  <si>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</si>
  <si>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</si>
  <si>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</si>
  <si>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</si>
  <si>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</si>
  <si>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</si>
  <si>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</si>
  <si>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</si>
  <si>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</si>
  <si>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</si>
  <si>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</si>
  <si>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</si>
  <si>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</si>
  <si>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</si>
  <si>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</si>
  <si>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</si>
  <si>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</si>
  <si>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</si>
  <si>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</si>
  <si>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</si>
  <si>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</si>
  <si>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</si>
  <si>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</si>
  <si>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</si>
  <si>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</si>
  <si>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</si>
  <si>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</si>
  <si>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</si>
  <si>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</si>
  <si>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</si>
  <si>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</si>
  <si>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</si>
  <si>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</si>
  <si>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</si>
  <si>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</si>
  <si>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</si>
  <si>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</si>
  <si>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</si>
  <si>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</si>
  <si>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</si>
  <si>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</si>
  <si>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</si>
  <si>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</si>
  <si>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</si>
  <si>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</si>
  <si>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</si>
  <si>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</si>
  <si>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</si>
  <si>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</si>
  <si>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</si>
  <si>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</si>
  <si>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</si>
  <si>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</si>
  <si>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</si>
  <si>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</si>
  <si>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</si>
  <si>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</si>
  <si>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</si>
  <si>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</si>
  <si>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</si>
  <si>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</si>
  <si>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</si>
  <si>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</si>
  <si>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</si>
  <si>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</si>
  <si>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</si>
  <si>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</si>
  <si>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</si>
  <si>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</si>
  <si>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</si>
  <si>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</si>
  <si>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</si>
  <si>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</si>
  <si>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</si>
  <si>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</si>
  <si>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</si>
  <si>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</si>
  <si>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</si>
  <si>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</si>
  <si>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</si>
  <si>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</si>
  <si>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</si>
  <si>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</si>
  <si>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</si>
  <si>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</si>
  <si>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</si>
  <si>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</si>
  <si>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</si>
  <si>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</si>
  <si>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</si>
  <si>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</si>
  <si>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</si>
  <si>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</si>
  <si>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</si>
  <si>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</si>
  <si>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</si>
  <si>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</si>
  <si>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</si>
  <si>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</si>
  <si>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</si>
  <si>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</si>
  <si>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</si>
  <si>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</si>
  <si>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</si>
  <si>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</si>
  <si>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</si>
  <si>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</si>
  <si>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</si>
  <si>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</si>
  <si>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</si>
  <si>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</si>
  <si>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</si>
  <si>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</si>
  <si>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</si>
  <si>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</si>
  <si>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</si>
  <si>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</si>
  <si>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</si>
  <si>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</si>
  <si>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</si>
  <si>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</si>
  <si>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</si>
  <si>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</si>
  <si>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</si>
  <si>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</si>
  <si>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</si>
  <si>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</si>
  <si>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</si>
  <si>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</si>
  <si>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</si>
  <si>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</si>
  <si>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</si>
  <si>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</si>
  <si>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</si>
  <si>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</si>
  <si>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</si>
  <si>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</si>
  <si>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</si>
  <si>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</si>
  <si>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</si>
  <si>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</si>
  <si>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</si>
  <si>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</si>
  <si>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</si>
  <si>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</si>
  <si>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</si>
  <si>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</si>
  <si>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</si>
  <si>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</si>
  <si>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</si>
  <si>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</si>
  <si>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</si>
  <si>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</si>
  <si>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</si>
  <si>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</si>
  <si>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</si>
  <si>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</si>
  <si>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</si>
  <si>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</si>
  <si>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</si>
  <si>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</si>
  <si>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</si>
  <si>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</si>
  <si>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</si>
  <si>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</si>
  <si>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</si>
  <si>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</si>
  <si>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</si>
  <si>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</si>
  <si>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</si>
  <si>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</si>
  <si>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</si>
  <si>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</si>
  <si>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</si>
  <si>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</si>
  <si>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</si>
  <si>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</si>
  <si>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</si>
  <si>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</si>
  <si>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</si>
  <si>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</si>
  <si>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</si>
  <si>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</si>
  <si>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</si>
  <si>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</si>
  <si>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</si>
  <si>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</si>
  <si>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</si>
  <si>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</si>
  <si>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</si>
  <si>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</si>
  <si>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</si>
  <si>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</si>
  <si>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</si>
  <si>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</si>
  <si>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</si>
  <si>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</si>
  <si>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</si>
  <si>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</si>
  <si>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</si>
  <si>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</si>
  <si>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</si>
  <si>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</si>
  <si>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</si>
  <si>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</si>
  <si>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</si>
  <si>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</si>
  <si>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</si>
  <si>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</si>
  <si>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</si>
  <si>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</si>
  <si>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</si>
  <si>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</si>
  <si>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</si>
  <si>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</si>
  <si>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</si>
  <si>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</si>
  <si>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</si>
  <si>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</si>
  <si>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</si>
  <si>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</si>
  <si>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</si>
  <si>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</si>
  <si>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</si>
  <si>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</si>
  <si>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</si>
  <si>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</si>
  <si>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</si>
  <si>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</si>
  <si>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</si>
  <si>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</si>
  <si>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</si>
  <si>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</si>
  <si>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</si>
  <si>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</si>
  <si>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</si>
  <si>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</si>
  <si>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</si>
  <si>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</si>
  <si>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</si>
  <si>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</si>
  <si>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</si>
  <si>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</si>
  <si>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</si>
  <si>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</si>
  <si>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</si>
  <si>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</si>
  <si>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</si>
  <si>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</si>
  <si>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</si>
  <si>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</si>
  <si>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</si>
  <si>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</si>
  <si>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</si>
  <si>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</si>
  <si>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</si>
  <si>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</si>
  <si>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</si>
  <si>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</si>
  <si>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</si>
  <si>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</si>
  <si>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</si>
  <si>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</si>
  <si>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</si>
  <si>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</si>
  <si>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</si>
  <si>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</si>
  <si>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</si>
  <si>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</si>
  <si>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</si>
  <si>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</si>
  <si>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</si>
  <si>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</si>
  <si>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</si>
  <si>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</si>
  <si>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</si>
  <si>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</si>
  <si>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</si>
  <si>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</si>
  <si>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</si>
  <si>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</si>
  <si>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</si>
  <si>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</si>
  <si>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</si>
  <si>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</si>
  <si>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</si>
  <si>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</si>
  <si>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</si>
  <si>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</si>
  <si>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</si>
  <si>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</si>
  <si>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</si>
  <si>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</si>
  <si>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</si>
  <si>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</si>
  <si>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</si>
  <si>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</si>
  <si>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</si>
  <si>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</si>
  <si>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</si>
  <si>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</si>
  <si>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</si>
  <si>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</si>
  <si>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</si>
  <si>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</si>
  <si>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</si>
  <si>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</si>
  <si>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</si>
  <si>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</si>
  <si>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</si>
  <si>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</si>
  <si>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</si>
  <si>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</si>
  <si>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</si>
  <si>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</si>
  <si>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</si>
  <si>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</si>
  <si>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</si>
  <si>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</si>
  <si>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</si>
  <si>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</si>
  <si>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</si>
  <si>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</si>
  <si>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</si>
  <si>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</si>
  <si>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</si>
  <si>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</si>
  <si>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</si>
  <si>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</si>
  <si>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</si>
  <si>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</si>
  <si>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</si>
  <si>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</si>
  <si>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</si>
  <si>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</si>
  <si>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</si>
  <si>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</si>
  <si>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</si>
  <si>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</si>
  <si>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</si>
  <si>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</si>
  <si>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</si>
  <si>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</si>
  <si>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</si>
  <si>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</si>
  <si>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</si>
  <si>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</si>
  <si>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</si>
  <si>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</si>
  <si>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</si>
  <si>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</si>
  <si>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</si>
  <si>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</si>
  <si>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</si>
  <si>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</si>
  <si>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</si>
  <si>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</si>
  <si>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</si>
  <si>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</si>
  <si>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</si>
  <si>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</si>
  <si>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</si>
  <si>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</si>
  <si>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</si>
  <si>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</si>
  <si>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</si>
  <si>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</si>
  <si>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</si>
  <si>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</si>
  <si>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</si>
  <si>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</si>
  <si>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</si>
  <si>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</si>
  <si>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</si>
  <si>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</si>
  <si>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</si>
  <si>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</si>
  <si>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</si>
  <si>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</si>
  <si>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</si>
  <si>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</si>
  <si>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</si>
  <si>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</si>
  <si>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</si>
  <si>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</si>
  <si>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</si>
  <si>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</si>
  <si>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</si>
  <si>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</si>
  <si>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</si>
  <si>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</si>
  <si>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</si>
  <si>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</si>
  <si>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</si>
  <si>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</si>
  <si>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</si>
  <si>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</si>
  <si>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</si>
  <si>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</si>
  <si>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</si>
  <si>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</si>
  <si>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</si>
  <si>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</si>
  <si>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</si>
  <si>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</si>
  <si>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</si>
  <si>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</si>
  <si>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</si>
  <si>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</si>
  <si>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</si>
  <si>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</si>
  <si>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</si>
  <si>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</si>
  <si>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</si>
  <si>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</si>
  <si>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</si>
  <si>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</si>
  <si>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</si>
  <si>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</si>
  <si>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</si>
  <si>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</si>
  <si>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</si>
  <si>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</si>
  <si>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</si>
  <si>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</si>
  <si>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</si>
  <si>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</si>
  <si>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</si>
  <si>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</si>
  <si>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</si>
  <si>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</si>
  <si>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</si>
  <si>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</si>
  <si>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</si>
  <si>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</si>
  <si>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</si>
  <si>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</si>
  <si>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</si>
  <si>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</si>
  <si>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</si>
  <si>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</si>
  <si>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</si>
  <si>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</si>
  <si>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</si>
  <si>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</si>
  <si>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</si>
  <si>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</si>
  <si>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</si>
  <si>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</si>
  <si>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</si>
  <si>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</si>
  <si>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</si>
  <si>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</si>
  <si>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</si>
  <si>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</si>
  <si>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</si>
  <si>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</si>
  <si>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</si>
  <si>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</si>
  <si>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</si>
  <si>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</si>
  <si>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</si>
  <si>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</si>
  <si>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</si>
  <si>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</si>
  <si>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</si>
  <si>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</si>
  <si>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</si>
  <si>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</si>
  <si>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</si>
  <si>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</si>
  <si>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</si>
  <si>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</si>
  <si>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</si>
  <si>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</si>
  <si>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</si>
  <si>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</si>
  <si>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</si>
  <si>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</si>
  <si>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</si>
  <si>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</si>
  <si>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</si>
  <si>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</si>
  <si>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</si>
  <si>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</si>
  <si>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</si>
  <si>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</si>
  <si>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</si>
  <si>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</si>
  <si>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</si>
  <si>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</si>
  <si>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</si>
  <si>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</si>
  <si>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</si>
  <si>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</si>
  <si>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</si>
  <si>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</si>
  <si>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</si>
  <si>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</si>
  <si>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</si>
  <si>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</si>
  <si>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</si>
  <si>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</si>
  <si>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</si>
  <si>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</si>
  <si>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</si>
  <si>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</si>
  <si>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</si>
  <si>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</si>
  <si>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</si>
  <si>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</si>
  <si>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</si>
  <si>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</si>
  <si>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</si>
  <si>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</si>
  <si>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</si>
  <si>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</si>
  <si>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</si>
  <si>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</si>
  <si>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</si>
  <si>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</si>
  <si>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</si>
  <si>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</si>
  <si>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</si>
  <si>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</si>
  <si>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</si>
  <si>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</si>
  <si>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</si>
  <si>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</si>
  <si>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</si>
  <si>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</si>
  <si>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</si>
  <si>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</si>
  <si>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</si>
  <si>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</si>
  <si>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</si>
  <si>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</si>
  <si>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</si>
  <si>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</si>
  <si>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</si>
  <si>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</si>
  <si>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</si>
  <si>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</si>
  <si>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</si>
  <si>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</si>
  <si>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</si>
  <si>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</si>
  <si>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</si>
  <si>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</si>
  <si>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</si>
  <si>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</si>
  <si>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</si>
  <si>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</si>
  <si>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</si>
  <si>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</si>
  <si>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</si>
  <si>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</si>
  <si>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</si>
  <si>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</si>
  <si>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</si>
  <si>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</si>
  <si>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</si>
  <si>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</si>
  <si>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</si>
  <si>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</si>
  <si>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</si>
  <si>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</si>
  <si>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</si>
  <si>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</si>
  <si>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</si>
  <si>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</si>
  <si>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</si>
  <si>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</si>
  <si>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</si>
  <si>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</si>
  <si>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</si>
  <si>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</si>
  <si>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</si>
  <si>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</si>
  <si>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</si>
  <si>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</si>
  <si>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</si>
  <si>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</si>
  <si>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</si>
  <si>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</si>
  <si>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</si>
  <si>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</si>
  <si>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</si>
  <si>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</si>
  <si>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</si>
  <si>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</si>
  <si>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</si>
  <si>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</si>
  <si>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</si>
  <si>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</si>
  <si>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</si>
  <si>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</si>
  <si>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</si>
  <si>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</si>
  <si>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</si>
  <si>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</si>
  <si>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</si>
  <si>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</si>
  <si>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</si>
  <si>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</si>
  <si>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</si>
  <si>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</si>
  <si>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</si>
  <si>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</si>
  <si>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</si>
  <si>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</si>
  <si>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</si>
  <si>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</si>
  <si>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</si>
  <si>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</si>
  <si>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</si>
  <si>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</si>
  <si>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</si>
  <si>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</si>
  <si>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</si>
  <si>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</si>
  <si>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</si>
  <si>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</si>
  <si>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</si>
  <si>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</si>
  <si>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</si>
  <si>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</si>
  <si>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</si>
  <si>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</si>
  <si>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</si>
  <si>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</si>
  <si>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</si>
  <si>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</si>
  <si>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</si>
  <si>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</si>
  <si>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</si>
  <si>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</si>
  <si>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</si>
  <si>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</si>
  <si>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</si>
  <si>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</si>
  <si>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</si>
  <si>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</si>
  <si>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</si>
  <si>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</si>
  <si>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</si>
  <si>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</si>
  <si>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</si>
  <si>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</si>
  <si>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</si>
  <si>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</si>
  <si>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</si>
  <si>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</si>
  <si>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</si>
  <si>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</si>
  <si>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</si>
  <si>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</si>
  <si>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</si>
  <si>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</si>
  <si>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</si>
  <si>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</si>
  <si>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</si>
  <si>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</si>
  <si>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</si>
  <si>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</si>
  <si>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</si>
  <si>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</si>
  <si>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</si>
  <si>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</si>
  <si>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</si>
  <si>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</si>
  <si>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</si>
  <si>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</si>
  <si>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</si>
  <si>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</si>
  <si>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</si>
  <si>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</si>
  <si>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</si>
  <si>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</si>
  <si>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</si>
  <si>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</si>
  <si>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</si>
  <si>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</si>
  <si>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</si>
  <si>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</si>
  <si>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</si>
  <si>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</si>
  <si>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</si>
  <si>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</si>
  <si>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</si>
  <si>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</si>
  <si>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</si>
  <si>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</si>
  <si>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</si>
  <si>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</si>
  <si>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</si>
  <si>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</si>
  <si>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</si>
  <si>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</si>
  <si>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</si>
  <si>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</si>
  <si>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</si>
  <si>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</si>
  <si>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</si>
  <si>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</si>
  <si>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</si>
  <si>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</si>
  <si>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</si>
  <si>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</si>
  <si>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</si>
  <si>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</si>
  <si>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</si>
  <si>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</si>
  <si>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</si>
  <si>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</si>
  <si>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</si>
  <si>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</si>
  <si>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</si>
  <si>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</si>
  <si>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</si>
  <si>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</si>
  <si>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</si>
  <si>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</si>
  <si>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</si>
  <si>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</si>
  <si>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</si>
  <si>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</si>
  <si>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</si>
  <si>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</si>
  <si>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</si>
  <si>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</si>
  <si>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</si>
  <si>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</si>
  <si>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</si>
  <si>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</si>
  <si>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</si>
  <si>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</si>
  <si>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</si>
  <si>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</si>
  <si>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</si>
  <si>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</si>
  <si>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</si>
  <si>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</si>
  <si>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</si>
  <si>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</si>
  <si>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</si>
  <si>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</si>
  <si>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</si>
  <si>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</si>
  <si>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</si>
  <si>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</si>
  <si>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</si>
  <si>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</si>
  <si>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</si>
  <si>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</si>
  <si>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</si>
  <si>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</si>
  <si>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</si>
  <si>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</si>
  <si>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</si>
  <si>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</si>
  <si>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</si>
  <si>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</si>
  <si>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</si>
  <si>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</si>
  <si>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</si>
  <si>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</si>
  <si>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</si>
  <si>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</si>
  <si>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</si>
  <si>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</si>
  <si>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</si>
  <si>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</si>
  <si>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</si>
  <si>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</si>
  <si>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</si>
  <si>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</si>
  <si>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</si>
  <si>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</si>
  <si>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</si>
  <si>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</si>
  <si>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</si>
  <si>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</si>
  <si>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</si>
  <si>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</si>
  <si>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</si>
  <si>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</si>
  <si>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</si>
  <si>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</si>
  <si>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</si>
  <si>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</si>
  <si>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</si>
  <si>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</si>
  <si>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</si>
  <si>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</si>
  <si>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</si>
  <si>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</si>
  <si>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</si>
  <si>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</si>
  <si>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</si>
  <si>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</si>
  <si>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</si>
  <si>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</si>
  <si>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</si>
  <si>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</si>
  <si>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</si>
  <si>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</si>
  <si>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</si>
  <si>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</si>
  <si>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</si>
  <si>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</si>
  <si>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</si>
  <si>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</si>
  <si>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</si>
  <si>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</si>
  <si>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</si>
  <si>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</si>
  <si>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</si>
  <si>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</si>
  <si>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</si>
  <si>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</si>
  <si>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</si>
  <si>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</si>
  <si>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</si>
  <si>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</si>
  <si>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</si>
  <si>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</si>
  <si>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</si>
  <si>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</si>
  <si>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</si>
  <si>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</si>
  <si>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</si>
  <si>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</si>
  <si>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</si>
  <si>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</si>
  <si>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</si>
  <si>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</si>
  <si>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</si>
  <si>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</si>
  <si>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</si>
  <si>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</si>
  <si>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</si>
  <si>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</si>
  <si>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</si>
  <si>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</si>
  <si>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</si>
  <si>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</si>
  <si>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</si>
  <si>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</si>
  <si>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</si>
  <si>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</si>
  <si>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</si>
  <si>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</si>
  <si>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</si>
  <si>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</si>
  <si>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</si>
  <si>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</si>
  <si>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</si>
  <si>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</si>
  <si>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</si>
  <si>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</si>
  <si>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</si>
  <si>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</si>
  <si>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</si>
  <si>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</si>
  <si>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</si>
  <si>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</si>
  <si>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</si>
  <si>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</si>
  <si>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</si>
  <si>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</si>
  <si>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</si>
  <si>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</si>
  <si>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</si>
  <si>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</si>
  <si>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</si>
  <si>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</si>
  <si>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</si>
  <si>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</si>
  <si>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</si>
  <si>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</si>
  <si>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</si>
  <si>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</si>
  <si>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</si>
  <si>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</si>
  <si>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</si>
  <si>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</si>
  <si>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</si>
  <si>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</si>
  <si>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</si>
  <si>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</si>
  <si>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</si>
  <si>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</si>
  <si>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</si>
  <si>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</si>
  <si>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</si>
  <si>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</si>
  <si>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</si>
  <si>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</si>
  <si>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</si>
  <si>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</si>
  <si>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</si>
  <si>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</si>
  <si>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</si>
  <si>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</si>
  <si>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</si>
  <si>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</si>
  <si>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</si>
  <si>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</si>
  <si>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</si>
  <si>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</si>
  <si>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</si>
  <si>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</si>
  <si>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</si>
  <si>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</si>
  <si>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</si>
  <si>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</si>
  <si>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</si>
  <si>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</si>
  <si>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</si>
  <si>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</si>
  <si>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</si>
  <si>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</si>
  <si>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</si>
  <si>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</si>
  <si>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</si>
  <si>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</si>
  <si>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</si>
  <si>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</si>
  <si>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</si>
  <si>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</si>
  <si>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</si>
  <si>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</si>
  <si>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</si>
  <si>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</si>
  <si>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</si>
  <si>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</si>
  <si>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</si>
  <si>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</si>
  <si>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</si>
  <si>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</si>
  <si>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</si>
  <si>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</si>
  <si>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</si>
  <si>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</si>
  <si>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</si>
  <si>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</si>
  <si>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</si>
  <si>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</si>
  <si>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</si>
  <si>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</si>
  <si>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</si>
  <si>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</si>
  <si>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</si>
  <si>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</si>
  <si>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</si>
  <si>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</si>
  <si>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</si>
  <si>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</si>
  <si>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</si>
  <si>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</si>
  <si>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</si>
  <si>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</si>
  <si>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</si>
  <si>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</si>
  <si>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</si>
  <si>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</si>
  <si>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</si>
  <si>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</si>
  <si>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</si>
  <si>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</si>
  <si>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</si>
  <si>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</si>
  <si>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</si>
  <si>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</si>
  <si>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</si>
  <si>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</si>
  <si>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</si>
  <si>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</si>
  <si>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</si>
  <si>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</si>
  <si>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</si>
  <si>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</si>
  <si>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</si>
  <si>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</si>
  <si>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</si>
  <si>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</si>
  <si>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</si>
  <si>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</si>
  <si>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</si>
  <si>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</si>
  <si>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</si>
  <si>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</si>
  <si>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</si>
  <si>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</si>
  <si>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</si>
  <si>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</si>
  <si>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</si>
  <si>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</si>
  <si>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</si>
  <si>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</si>
  <si>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</si>
  <si>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</si>
  <si>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</si>
  <si>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</si>
  <si>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</si>
  <si>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</si>
  <si>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</si>
  <si>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</si>
  <si>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</si>
  <si>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</si>
  <si>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</si>
  <si>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</si>
  <si>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</si>
  <si>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</si>
  <si>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</si>
  <si>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</si>
  <si>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</si>
  <si>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</si>
  <si>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</si>
  <si>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</si>
  <si>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</si>
  <si>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</si>
  <si>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</si>
  <si>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</si>
  <si>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</si>
  <si>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</si>
  <si>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</si>
  <si>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</si>
  <si>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</si>
  <si>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</si>
  <si>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</si>
  <si>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</si>
  <si>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</si>
  <si>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</si>
  <si>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</si>
  <si>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</si>
  <si>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</si>
  <si>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</si>
  <si>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</si>
  <si>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</si>
  <si>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</si>
  <si>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</si>
  <si>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</si>
  <si>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</si>
  <si>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</si>
  <si>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</si>
  <si>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</si>
  <si>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</si>
  <si>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</si>
  <si>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</si>
  <si>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</si>
  <si>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</si>
  <si>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</si>
  <si>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</si>
  <si>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</si>
  <si>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</si>
  <si>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</si>
  <si>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</si>
  <si>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</si>
  <si>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</si>
  <si>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</si>
  <si>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</si>
  <si>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</si>
  <si>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</si>
  <si>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</si>
  <si>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</si>
  <si>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</si>
  <si>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</si>
  <si>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</si>
  <si>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</si>
  <si>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</si>
  <si>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</si>
  <si>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</si>
  <si>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</si>
  <si>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</si>
  <si>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</si>
  <si>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</si>
  <si>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</si>
  <si>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</si>
  <si>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</si>
  <si>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</si>
  <si>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</si>
  <si>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</si>
  <si>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</si>
  <si>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</si>
  <si>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</si>
  <si>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</si>
  <si>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</si>
  <si>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</si>
  <si>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</si>
  <si>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</si>
  <si>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</si>
  <si>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</si>
  <si>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</si>
  <si>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</si>
  <si>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</si>
  <si>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</si>
  <si>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</si>
  <si>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</si>
  <si>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</si>
  <si>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</si>
  <si>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</si>
  <si>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</si>
  <si>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</si>
  <si>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</si>
  <si>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</si>
  <si>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</si>
  <si>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</si>
  <si>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</si>
  <si>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</si>
  <si>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</si>
  <si>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</si>
  <si>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</si>
  <si>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</si>
  <si>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</si>
  <si>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</si>
  <si>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</si>
  <si>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</si>
  <si>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</si>
  <si>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</si>
  <si>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</si>
  <si>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</si>
  <si>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</si>
  <si>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</si>
  <si>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</si>
  <si>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</si>
  <si>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</si>
  <si>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</si>
  <si>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</si>
  <si>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</si>
  <si>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</si>
  <si>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</si>
  <si>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</si>
  <si>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</si>
  <si>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</si>
  <si>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</si>
  <si>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</si>
  <si>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</si>
  <si>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</si>
  <si>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</si>
  <si>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</si>
  <si>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</si>
  <si>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</si>
  <si>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</si>
  <si>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</si>
  <si>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</si>
  <si>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</si>
  <si>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</si>
  <si>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</si>
  <si>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</si>
  <si>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</si>
  <si>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</si>
  <si>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</si>
  <si>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</si>
  <si>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</si>
  <si>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</si>
  <si>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</si>
  <si>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</si>
  <si>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</si>
  <si>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</si>
  <si>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</si>
  <si>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</si>
  <si>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</si>
  <si>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</si>
  <si>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</si>
  <si>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</si>
  <si>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</si>
  <si>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</si>
  <si>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</si>
  <si>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</si>
  <si>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</si>
  <si>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</si>
  <si>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</si>
  <si>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</si>
  <si>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</si>
  <si>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</si>
  <si>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</si>
  <si>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</si>
  <si>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</si>
  <si>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</si>
  <si>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</si>
  <si>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</si>
  <si>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</si>
  <si>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</si>
  <si>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</si>
  <si>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</si>
  <si>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</si>
  <si>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</si>
  <si>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</si>
  <si>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</si>
  <si>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</si>
  <si>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</si>
  <si>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</si>
  <si>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</si>
  <si>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</si>
  <si>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</si>
  <si>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</si>
  <si>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</si>
  <si>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</si>
  <si>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</si>
  <si>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</si>
  <si>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</si>
  <si>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</si>
  <si>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</si>
  <si>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</si>
  <si>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</si>
  <si>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</si>
  <si>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</si>
  <si>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</si>
  <si>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</si>
  <si>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</si>
  <si>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</si>
  <si>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</si>
  <si>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</si>
  <si>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</si>
  <si>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</si>
  <si>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</si>
  <si>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</si>
  <si>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</si>
  <si>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</si>
  <si>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</si>
  <si>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</si>
  <si>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</si>
  <si>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</si>
  <si>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</si>
  <si>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</si>
  <si>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</si>
  <si>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</si>
  <si>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</si>
  <si>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</si>
  <si>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</si>
  <si>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</si>
  <si>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</si>
  <si>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</si>
  <si>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</si>
  <si>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</si>
  <si>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</si>
  <si>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</si>
  <si>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</si>
  <si>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</si>
  <si>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</si>
  <si>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</si>
  <si>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</si>
  <si>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</si>
  <si>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</si>
  <si>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</si>
  <si>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</si>
  <si>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</si>
  <si>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</si>
  <si>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</si>
  <si>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</si>
  <si>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</si>
  <si>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</si>
  <si>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</si>
  <si>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</si>
  <si>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</si>
  <si>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</si>
  <si>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</si>
  <si>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</si>
  <si>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</si>
  <si>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</si>
  <si>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</si>
  <si>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</si>
  <si>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</si>
  <si>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</si>
  <si>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</si>
  <si>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</si>
  <si>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</si>
  <si>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</si>
  <si>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</si>
  <si>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</si>
  <si>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</si>
  <si>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</si>
  <si>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</si>
  <si>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</si>
  <si>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</si>
  <si>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</si>
  <si>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</si>
  <si>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</si>
  <si>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</si>
  <si>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</si>
  <si>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</si>
  <si>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</si>
  <si>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</si>
  <si>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</si>
  <si>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</si>
  <si>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</si>
  <si>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</si>
  <si>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</si>
  <si>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</si>
  <si>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</si>
  <si>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</si>
  <si>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</si>
  <si>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</si>
  <si>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</si>
  <si>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</si>
  <si>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</si>
  <si>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</si>
  <si>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</si>
  <si>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</si>
  <si>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</si>
  <si>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</si>
  <si>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</si>
  <si>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</si>
  <si>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</si>
  <si>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</si>
  <si>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</si>
  <si>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</si>
  <si>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</si>
  <si>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</si>
  <si>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</si>
  <si>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</si>
  <si>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</si>
  <si>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</si>
  <si>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</si>
  <si>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</si>
  <si>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</si>
  <si>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</si>
  <si>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</si>
  <si>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</si>
  <si>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</si>
  <si>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</si>
  <si>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</si>
  <si>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</si>
  <si>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</si>
  <si>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</si>
  <si>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</si>
  <si>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</si>
  <si>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</si>
  <si>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</si>
  <si>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</si>
  <si>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</si>
  <si>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</si>
  <si>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</si>
  <si>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</si>
  <si>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</si>
  <si>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</si>
  <si>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</si>
  <si>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</si>
  <si>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</si>
  <si>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</si>
  <si>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</si>
  <si>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</si>
  <si>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</si>
  <si>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</si>
  <si>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</si>
  <si>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</si>
  <si>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</si>
  <si>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</si>
  <si>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</si>
  <si>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</si>
  <si>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</si>
  <si>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</si>
  <si>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</si>
  <si>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</si>
  <si>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</si>
  <si>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</si>
  <si>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</si>
  <si>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</si>
  <si>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</si>
  <si>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</si>
  <si>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</si>
  <si>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</si>
  <si>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</si>
  <si>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</si>
  <si>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</si>
  <si>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</si>
  <si>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</si>
  <si>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</si>
  <si>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</si>
  <si>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</si>
  <si>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</si>
  <si>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</si>
  <si>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</si>
  <si>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</si>
  <si>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</si>
  <si>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</si>
  <si>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</si>
  <si>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</si>
  <si>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</si>
  <si>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</si>
  <si>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</si>
  <si>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</si>
  <si>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</si>
  <si>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</si>
  <si>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</si>
  <si>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</si>
  <si>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</si>
  <si>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</si>
  <si>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</si>
  <si>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</si>
  <si>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</si>
  <si>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</si>
  <si>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</si>
  <si>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</si>
  <si>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</si>
  <si>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</si>
  <si>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</si>
  <si>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</si>
  <si>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</si>
  <si>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</si>
  <si>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</si>
  <si>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</si>
  <si>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</si>
  <si>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</si>
  <si>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</si>
  <si>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</si>
  <si>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</si>
  <si>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</si>
  <si>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</si>
  <si>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</si>
  <si>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</si>
  <si>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</si>
  <si>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</si>
  <si>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</si>
  <si>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</si>
  <si>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</si>
  <si>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</si>
  <si>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</si>
  <si>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</si>
  <si>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</si>
  <si>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</si>
  <si>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</si>
  <si>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</si>
  <si>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</si>
  <si>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</si>
  <si>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</si>
  <si>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</si>
  <si>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</si>
  <si>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</si>
  <si>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</si>
  <si>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</si>
  <si>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</si>
  <si>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</si>
  <si>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</si>
  <si>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</si>
  <si>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</si>
  <si>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</si>
  <si>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</si>
  <si>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</si>
  <si>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</si>
  <si>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</si>
  <si>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</si>
  <si>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</si>
  <si>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</si>
  <si>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</si>
  <si>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</si>
  <si>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</si>
  <si>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</si>
  <si>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</si>
  <si>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</si>
  <si>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</si>
  <si>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</si>
  <si>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</si>
  <si>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</si>
  <si>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</si>
  <si>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</si>
  <si>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</si>
  <si>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</si>
  <si>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</si>
  <si>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</si>
  <si>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</si>
  <si>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</si>
  <si>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</si>
  <si>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</si>
  <si>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</si>
  <si>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</si>
  <si>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</si>
  <si>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</si>
  <si>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</si>
  <si>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</si>
  <si>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</si>
  <si>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</si>
  <si>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</si>
  <si>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</si>
  <si>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</si>
  <si>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</si>
  <si>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</si>
  <si>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</si>
  <si>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</si>
  <si>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</si>
  <si>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</si>
  <si>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</si>
  <si>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</si>
  <si>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</si>
  <si>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</si>
  <si>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</si>
  <si>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</si>
  <si>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</si>
  <si>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</si>
  <si>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</si>
  <si>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</si>
  <si>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</si>
  <si>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</si>
  <si>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</si>
  <si>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</si>
  <si>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</si>
  <si>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</si>
  <si>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</si>
  <si>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</si>
  <si>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</si>
  <si>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</si>
  <si>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</si>
  <si>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</si>
  <si>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</si>
  <si>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</si>
  <si>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</si>
  <si>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</si>
  <si>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</si>
  <si>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</si>
  <si>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</si>
  <si>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</si>
  <si>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</si>
  <si>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</si>
  <si>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</si>
  <si>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</si>
  <si>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</si>
  <si>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</si>
  <si>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</si>
  <si>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</si>
  <si>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</si>
  <si>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</si>
  <si>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</si>
  <si>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</si>
  <si>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</si>
  <si>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</si>
  <si>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</si>
  <si>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</si>
  <si>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</si>
  <si>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</si>
  <si>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</si>
  <si>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</si>
  <si>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</si>
  <si>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</si>
  <si>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</si>
  <si>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</si>
  <si>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</si>
  <si>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</si>
  <si>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</si>
  <si>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</si>
  <si>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</si>
  <si>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</si>
  <si>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</si>
  <si>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</si>
  <si>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</si>
  <si>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</si>
  <si>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</si>
  <si>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</si>
  <si>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</si>
  <si>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</si>
  <si>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</si>
  <si>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</si>
  <si>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</si>
  <si>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</si>
  <si>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</si>
  <si>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</si>
  <si>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</si>
  <si>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</si>
  <si>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</si>
  <si>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</si>
  <si>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</si>
  <si>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</si>
  <si>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</si>
  <si>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</si>
  <si>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</si>
  <si>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</si>
  <si>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</si>
  <si>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</si>
  <si>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</si>
  <si>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</si>
  <si>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</si>
  <si>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</si>
  <si>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</si>
  <si>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</si>
  <si>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</si>
  <si>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</si>
  <si>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</si>
  <si>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</si>
  <si>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</si>
  <si>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</si>
  <si>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</si>
  <si>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</si>
  <si>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</si>
  <si>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</si>
  <si>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</si>
  <si>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</si>
  <si>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</si>
  <si>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</si>
  <si>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</si>
  <si>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</si>
  <si>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</si>
  <si>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</si>
  <si>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</si>
  <si>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</si>
  <si>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</si>
  <si>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</si>
  <si>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</si>
  <si>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</si>
  <si>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</si>
  <si>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</si>
  <si>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</si>
  <si>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</si>
  <si>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</si>
  <si>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</si>
  <si>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</si>
  <si>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</si>
  <si>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</si>
  <si>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</si>
  <si>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</si>
  <si>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</si>
  <si>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</si>
  <si>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</si>
  <si>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</si>
  <si>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</si>
  <si>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</si>
  <si>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</si>
  <si>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</si>
  <si>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</si>
  <si>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</si>
  <si>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</si>
  <si>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</si>
  <si>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</si>
  <si>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</si>
  <si>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</si>
  <si>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</si>
  <si>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</si>
  <si>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</si>
  <si>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</si>
  <si>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</si>
  <si>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</si>
  <si>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</si>
  <si>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</si>
  <si>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</si>
  <si>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</si>
  <si>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</si>
  <si>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</si>
  <si>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</si>
  <si>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</si>
  <si>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</si>
  <si>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</si>
  <si>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</si>
  <si>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</si>
  <si>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</si>
  <si>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</si>
  <si>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</si>
  <si>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</si>
  <si>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</si>
  <si>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</si>
  <si>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</si>
  <si>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</si>
  <si>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</si>
  <si>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</si>
  <si>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</si>
  <si>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</si>
  <si>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</si>
  <si>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</si>
  <si>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</si>
  <si>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</si>
  <si>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</si>
  <si>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</si>
  <si>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</si>
  <si>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</si>
  <si>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</si>
  <si>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</si>
  <si>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</si>
  <si>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</si>
  <si>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</si>
  <si>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</si>
  <si>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</si>
  <si>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</si>
  <si>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</si>
  <si>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</si>
  <si>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</si>
  <si>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</si>
  <si>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</si>
  <si>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</si>
  <si>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</si>
  <si>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</si>
  <si>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</si>
  <si>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</si>
  <si>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</si>
  <si>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</si>
  <si>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</si>
  <si>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</si>
  <si>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</si>
  <si>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</si>
  <si>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</si>
  <si>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</si>
  <si>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</si>
  <si>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</si>
  <si>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</si>
  <si>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</si>
  <si>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</si>
  <si>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</si>
  <si>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</si>
  <si>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</si>
  <si>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</si>
  <si>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</si>
  <si>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</si>
  <si>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</si>
  <si>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</si>
  <si>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</si>
  <si>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</si>
  <si>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</si>
  <si>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</si>
  <si>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</si>
  <si>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</si>
  <si>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</si>
  <si>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</si>
  <si>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</si>
  <si>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</si>
  <si>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</si>
  <si>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</si>
  <si>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</si>
  <si>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</si>
  <si>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</si>
  <si>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</si>
  <si>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</si>
  <si>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</si>
  <si>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</si>
  <si>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</si>
  <si>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</si>
  <si>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</si>
  <si>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</si>
  <si>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</si>
  <si>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</si>
  <si>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</si>
  <si>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</si>
  <si>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</si>
  <si>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</si>
  <si>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</si>
  <si>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</si>
  <si>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</si>
  <si>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</si>
  <si>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</si>
  <si>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</si>
  <si>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</si>
  <si>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</si>
  <si>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</si>
  <si>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</si>
  <si>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</si>
  <si>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</si>
  <si>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</si>
  <si>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</si>
  <si>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</si>
  <si>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</si>
  <si>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</si>
  <si>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</si>
  <si>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</si>
  <si>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</si>
  <si>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</si>
  <si>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</si>
  <si>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</si>
  <si>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</si>
  <si>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</si>
  <si>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</si>
  <si>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</si>
  <si>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</si>
  <si>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</si>
  <si>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</si>
  <si>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</si>
  <si>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</si>
  <si>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</si>
  <si>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</si>
  <si>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</si>
  <si>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</si>
  <si>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</si>
  <si>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</si>
  <si>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</si>
  <si>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</si>
  <si>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</si>
  <si>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</si>
  <si>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</si>
  <si>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</si>
  <si>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</si>
  <si>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</si>
  <si>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</si>
  <si>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</si>
  <si>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</si>
  <si>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</si>
  <si>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</si>
  <si>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</si>
  <si>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</si>
  <si>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</si>
  <si>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</si>
  <si>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</si>
  <si>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</si>
  <si>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</si>
  <si>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</si>
  <si>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</si>
  <si>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</si>
  <si>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</si>
  <si>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</si>
  <si>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</si>
  <si>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</si>
  <si>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</si>
  <si>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</si>
  <si>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</si>
  <si>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</si>
  <si>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</si>
  <si>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</si>
  <si>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</si>
  <si>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</si>
  <si>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</si>
  <si>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</si>
  <si>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</si>
  <si>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</si>
  <si>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</si>
  <si>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</si>
  <si>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</si>
  <si>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</si>
  <si>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</si>
  <si>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</si>
  <si>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</si>
  <si>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</si>
  <si>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</si>
  <si>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</si>
  <si>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</si>
  <si>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</si>
  <si>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</si>
  <si>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</si>
  <si>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</si>
  <si>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</si>
  <si>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</si>
  <si>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</si>
  <si>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</si>
  <si>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</si>
  <si>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</si>
  <si>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</si>
  <si>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</si>
  <si>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</si>
  <si>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</si>
  <si>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</si>
  <si>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</si>
  <si>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</si>
  <si>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</si>
  <si>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</si>
  <si>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</si>
  <si>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</si>
  <si>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</si>
  <si>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</si>
  <si>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</si>
  <si>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</si>
  <si>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</si>
  <si>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</si>
  <si>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</si>
  <si>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</si>
  <si>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</si>
  <si>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</si>
  <si>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</si>
  <si>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</si>
  <si>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</si>
  <si>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</si>
  <si>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</si>
  <si>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</si>
  <si>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</si>
  <si>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</si>
  <si>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</si>
  <si>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</si>
  <si>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</si>
  <si>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</si>
  <si>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</si>
  <si>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</si>
  <si>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</si>
  <si>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</si>
  <si>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</si>
  <si>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</si>
  <si>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</si>
  <si>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</si>
  <si>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</si>
  <si>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</si>
  <si>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</si>
  <si>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</si>
  <si>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</si>
  <si>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</si>
  <si>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</si>
  <si>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</si>
  <si>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</si>
  <si>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</si>
  <si>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</si>
  <si>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</si>
  <si>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</si>
  <si>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</si>
  <si>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</si>
  <si>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</si>
  <si>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</si>
  <si>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</si>
  <si>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</si>
  <si>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</si>
  <si>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</si>
  <si>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</si>
  <si>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</si>
  <si>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</si>
  <si>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</si>
  <si>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</si>
  <si>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</si>
  <si>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</si>
  <si>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</si>
  <si>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</si>
  <si>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</si>
  <si>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</si>
  <si>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</si>
  <si>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</si>
  <si>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</si>
  <si>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</si>
  <si>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</si>
  <si>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</si>
  <si>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</si>
  <si>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</si>
  <si>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</si>
  <si>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</si>
  <si>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</si>
  <si>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</si>
  <si>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</si>
  <si>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</si>
  <si>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</si>
  <si>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</si>
  <si>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</si>
  <si>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</si>
  <si>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</si>
  <si>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</si>
  <si>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</si>
  <si>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</si>
  <si>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</si>
  <si>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</si>
  <si>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</si>
  <si>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</si>
  <si>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</si>
  <si>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</si>
  <si>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</si>
  <si>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</si>
  <si>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</si>
  <si>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</si>
  <si>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</si>
  <si>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</si>
  <si>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</si>
  <si>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</si>
  <si>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</si>
  <si>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</si>
  <si>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</si>
  <si>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</si>
  <si>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</si>
  <si>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</si>
  <si>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</si>
  <si>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</si>
  <si>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</si>
  <si>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</si>
  <si>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</si>
  <si>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</si>
  <si>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</si>
  <si>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</si>
  <si>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</si>
  <si>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</si>
  <si>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</si>
  <si>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</si>
  <si>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</si>
  <si>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</si>
  <si>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</si>
  <si>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</si>
  <si>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</si>
  <si>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</si>
  <si>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</si>
  <si>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</si>
  <si>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</si>
  <si>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</si>
  <si>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</si>
  <si>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</si>
  <si>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</si>
  <si>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</si>
  <si>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</si>
  <si>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</si>
  <si>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</si>
  <si>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</si>
  <si>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</si>
  <si>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</si>
  <si>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</si>
  <si>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</si>
  <si>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</si>
  <si>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</si>
  <si>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</si>
  <si>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</si>
  <si>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</si>
  <si>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</si>
  <si>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</si>
  <si>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</si>
  <si>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</si>
  <si>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</si>
  <si>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</si>
  <si>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</si>
  <si>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</si>
  <si>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</si>
  <si>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</si>
  <si>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</si>
  <si>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</si>
  <si>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</si>
  <si>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</si>
  <si>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</si>
  <si>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</si>
  <si>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</si>
  <si>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</si>
  <si>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</si>
  <si>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</si>
  <si>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</si>
  <si>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</si>
  <si>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</si>
  <si>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</si>
  <si>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</si>
  <si>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</si>
  <si>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</si>
  <si>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</si>
  <si>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</si>
  <si>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</si>
  <si>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</si>
  <si>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</si>
  <si>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</si>
  <si>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</si>
  <si>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</si>
  <si>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</si>
  <si>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</si>
  <si>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</si>
  <si>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</si>
  <si>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</si>
  <si>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</si>
  <si>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</si>
  <si>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</si>
  <si>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</si>
  <si>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</si>
  <si>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</si>
  <si>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</si>
  <si>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</si>
  <si>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</si>
  <si>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</si>
  <si>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</si>
  <si>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</si>
  <si>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</si>
  <si>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</si>
  <si>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</si>
  <si>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</si>
  <si>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</si>
  <si>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</si>
  <si>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</si>
  <si>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</si>
  <si>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</si>
  <si>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</si>
  <si>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</si>
  <si>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</si>
  <si>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</si>
  <si>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</si>
  <si>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</si>
  <si>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</si>
  <si>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</si>
  <si>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</si>
  <si>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</si>
  <si>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</si>
  <si>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</si>
  <si>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</si>
  <si>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</si>
  <si>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</si>
  <si>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</si>
  <si>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</si>
  <si>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</si>
  <si>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</si>
  <si>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</si>
  <si>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</si>
  <si>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</si>
  <si>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</si>
  <si>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</si>
  <si>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</si>
  <si>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</si>
  <si>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</si>
  <si>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</si>
  <si>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</si>
  <si>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</si>
  <si>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</si>
  <si>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</si>
  <si>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</si>
  <si>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</si>
  <si>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</si>
  <si>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</si>
  <si>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</si>
  <si>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</si>
  <si>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</si>
  <si>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</si>
  <si>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</si>
  <si>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</si>
  <si>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</si>
  <si>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</si>
  <si>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</si>
  <si>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</si>
  <si>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</si>
  <si>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</si>
  <si>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</si>
  <si>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</si>
  <si>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</si>
  <si>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</si>
  <si>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</si>
  <si>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</si>
  <si>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</si>
  <si>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</si>
  <si>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</si>
  <si>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</si>
  <si>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</si>
  <si>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</si>
  <si>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</si>
  <si>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</si>
  <si>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</si>
  <si>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</si>
  <si>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</si>
  <si>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</si>
  <si>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</si>
  <si>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</si>
  <si>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</si>
  <si>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</si>
  <si>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</si>
  <si>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</si>
  <si>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</si>
  <si>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</si>
  <si>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</si>
  <si>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</si>
  <si>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</si>
  <si>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</si>
  <si>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</si>
  <si>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</si>
  <si>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</si>
  <si>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</si>
  <si>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</si>
  <si>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</si>
  <si>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</si>
  <si>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</si>
  <si>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</si>
  <si>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</si>
  <si>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</si>
  <si>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</si>
  <si>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</si>
  <si>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</si>
  <si>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</si>
  <si>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</si>
  <si>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</si>
  <si>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</si>
  <si>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</si>
  <si>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</si>
  <si>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</si>
  <si>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</si>
  <si>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</si>
  <si>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</si>
  <si>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</si>
  <si>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</si>
  <si>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</si>
  <si>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</si>
  <si>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</si>
  <si>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</si>
  <si>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</si>
  <si>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</si>
  <si>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</si>
  <si>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</si>
  <si>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</si>
  <si>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</si>
  <si>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</si>
  <si>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</si>
  <si>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</si>
  <si>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</si>
  <si>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</si>
  <si>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</si>
  <si>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</si>
  <si>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</si>
  <si>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</si>
  <si>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</si>
  <si>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</si>
  <si>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</si>
  <si>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</si>
  <si>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</si>
  <si>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</si>
  <si>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</si>
  <si>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</si>
  <si>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</si>
  <si>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</si>
  <si>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</si>
  <si>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</si>
  <si>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</si>
  <si>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</si>
  <si>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</si>
  <si>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</si>
  <si>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</si>
  <si>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</si>
  <si>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</si>
  <si>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</si>
  <si>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</si>
  <si>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</si>
  <si>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</si>
  <si>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</si>
  <si>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</si>
  <si>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</si>
  <si>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</si>
  <si>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</si>
  <si>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</si>
  <si>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</si>
  <si>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</si>
  <si>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</si>
  <si>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</si>
  <si>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</si>
  <si>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</si>
  <si>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</si>
  <si>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</si>
  <si>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</si>
  <si>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</si>
  <si>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</si>
  <si>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</si>
  <si>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</si>
  <si>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</si>
  <si>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</si>
  <si>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</si>
  <si>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</si>
  <si>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</si>
  <si>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</si>
  <si>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</si>
  <si>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</si>
  <si>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</si>
  <si>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</si>
  <si>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</si>
  <si>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</si>
  <si>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</si>
  <si>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</si>
  <si>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</si>
  <si>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</si>
  <si>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</si>
  <si>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</si>
  <si>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</si>
  <si>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</si>
  <si>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</si>
  <si>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</si>
  <si>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</si>
  <si>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</si>
  <si>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</si>
  <si>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</si>
  <si>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</si>
  <si>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</si>
  <si>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</si>
  <si>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</si>
  <si>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</si>
  <si>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</si>
  <si>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</si>
  <si>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</si>
  <si>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</si>
  <si>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</si>
  <si>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</si>
  <si>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</si>
  <si>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</si>
  <si>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</si>
  <si>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</si>
  <si>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</si>
  <si>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</si>
  <si>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</si>
  <si>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</si>
  <si>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</si>
  <si>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</si>
  <si>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</si>
  <si>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</si>
  <si>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</si>
  <si>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</si>
  <si>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</si>
  <si>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</si>
  <si>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</si>
  <si>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</si>
  <si>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</si>
  <si>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</si>
  <si>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</si>
  <si>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</si>
  <si>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</si>
  <si>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</si>
  <si>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</si>
  <si>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</si>
  <si>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</si>
  <si>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</si>
  <si>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</si>
  <si>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</si>
  <si>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</si>
  <si>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</si>
  <si>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</si>
  <si>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</si>
  <si>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</si>
  <si>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</si>
  <si>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</si>
  <si>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</si>
  <si>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</si>
  <si>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</si>
  <si>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</si>
  <si>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</si>
  <si>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</si>
  <si>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</si>
  <si>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</si>
  <si>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</si>
  <si>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</si>
  <si>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</si>
  <si>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</si>
  <si>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</si>
  <si>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</si>
  <si>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</si>
  <si>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</si>
  <si>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</si>
  <si>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</si>
  <si>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</si>
  <si>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</si>
  <si>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</si>
  <si>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</si>
  <si>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</si>
  <si>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</si>
  <si>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</si>
  <si>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</si>
  <si>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</si>
  <si>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</si>
  <si>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</si>
  <si>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</si>
  <si>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</si>
  <si>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</si>
  <si>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</si>
  <si>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</si>
  <si>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</si>
  <si>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</si>
  <si>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</si>
  <si>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</si>
  <si>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</si>
  <si>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</si>
  <si>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</si>
  <si>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</si>
  <si>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</si>
  <si>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</si>
  <si>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</si>
  <si>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</si>
  <si>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</si>
  <si>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</si>
  <si>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</si>
  <si>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</si>
  <si>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</si>
  <si>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</si>
  <si>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</si>
  <si>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</si>
  <si>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</si>
  <si>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</si>
  <si>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</si>
  <si>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</si>
  <si>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</si>
  <si>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</si>
  <si>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</si>
  <si>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</si>
  <si>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</si>
  <si>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</si>
  <si>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</si>
  <si>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</si>
  <si>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</si>
  <si>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</si>
  <si>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</si>
  <si>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</si>
  <si>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</si>
  <si>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</si>
  <si>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</si>
  <si>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</si>
  <si>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</si>
  <si>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</si>
  <si>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</si>
  <si>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</si>
  <si>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</si>
  <si>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</si>
  <si>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</si>
  <si>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</si>
  <si>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</si>
  <si>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</si>
  <si>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</si>
  <si>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</si>
  <si>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</si>
  <si>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</si>
  <si>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</si>
  <si>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</si>
  <si>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</si>
  <si>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</si>
  <si>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</si>
  <si>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</si>
  <si>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</si>
  <si>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</si>
  <si>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</si>
  <si>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</si>
  <si>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</si>
  <si>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</si>
  <si>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</si>
  <si>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</si>
  <si>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</si>
  <si>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</si>
  <si>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</si>
  <si>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</si>
  <si>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</si>
  <si>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</si>
  <si>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</si>
  <si>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</si>
  <si>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</si>
  <si>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</si>
  <si>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</si>
  <si>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</si>
  <si>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</si>
  <si>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</si>
  <si>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</si>
  <si>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</si>
  <si>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</si>
  <si>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</si>
  <si>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</si>
  <si>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</si>
  <si>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</si>
  <si>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</si>
  <si>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</si>
  <si>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</si>
  <si>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</si>
  <si>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</si>
  <si>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</si>
  <si>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</si>
  <si>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</si>
  <si>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</si>
  <si>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</si>
  <si>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</si>
  <si>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</si>
  <si>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</si>
  <si>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</si>
  <si>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</si>
  <si>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</si>
  <si>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</si>
  <si>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</si>
  <si>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</si>
  <si>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</si>
  <si>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</si>
  <si>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</si>
  <si>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</si>
  <si>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</si>
  <si>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</si>
  <si>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</si>
  <si>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</si>
  <si>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</si>
  <si>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</si>
  <si>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</si>
  <si>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</si>
  <si>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</si>
  <si>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</si>
  <si>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</si>
  <si>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</si>
  <si>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</si>
  <si>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</si>
  <si>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</si>
  <si>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</si>
  <si>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</si>
  <si>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</si>
  <si>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</si>
  <si>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</si>
  <si>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</si>
  <si>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</si>
  <si>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</si>
  <si>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</si>
  <si>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</si>
  <si>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</si>
  <si>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</si>
  <si>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</si>
  <si>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</si>
  <si>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</si>
  <si>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</si>
  <si>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</si>
  <si>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</si>
  <si>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</si>
  <si>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</si>
  <si>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</si>
  <si>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</si>
  <si>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</si>
  <si>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</si>
  <si>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</si>
  <si>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</si>
  <si>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</si>
  <si>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</si>
  <si>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</si>
  <si>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</si>
  <si>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</si>
  <si>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</si>
  <si>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</si>
  <si>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</si>
  <si>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</si>
  <si>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</si>
  <si>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</si>
  <si>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</si>
  <si>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</si>
  <si>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</si>
  <si>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</si>
  <si>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</si>
  <si>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</si>
  <si>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</si>
  <si>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</si>
  <si>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</si>
  <si>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</si>
  <si>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</si>
  <si>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</si>
  <si>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</si>
  <si>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</si>
  <si>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</si>
  <si>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</si>
  <si>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</si>
  <si>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</si>
  <si>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</si>
  <si>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</si>
  <si>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</si>
  <si>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</si>
  <si>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</si>
  <si>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</si>
  <si>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</si>
  <si>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</si>
  <si>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</si>
  <si>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</si>
  <si>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</si>
  <si>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</si>
  <si>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</si>
  <si>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</si>
  <si>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</si>
  <si>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</si>
  <si>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</si>
  <si>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</si>
  <si>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</si>
  <si>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</si>
  <si>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</si>
  <si>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</si>
  <si>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</si>
  <si>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</si>
  <si>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</si>
  <si>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</si>
  <si>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</si>
  <si>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</si>
  <si>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</si>
  <si>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</si>
  <si>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</si>
  <si>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</si>
  <si>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</si>
  <si>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</si>
  <si>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</si>
  <si>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</si>
  <si>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</si>
  <si>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</si>
  <si>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</si>
  <si>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</si>
  <si>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</si>
  <si>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</si>
  <si>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</si>
  <si>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</si>
  <si>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</si>
  <si>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</si>
  <si>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</si>
  <si>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</si>
  <si>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</si>
  <si>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</si>
  <si>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</si>
  <si>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</si>
  <si>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</si>
  <si>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</si>
  <si>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</si>
  <si>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</si>
  <si>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</si>
  <si>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</si>
  <si>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</si>
  <si>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</si>
  <si>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</si>
  <si>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</si>
  <si>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</si>
  <si>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</si>
  <si>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</si>
  <si>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</si>
  <si>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</si>
  <si>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</si>
  <si>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</si>
  <si>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</si>
  <si>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</si>
  <si>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</si>
  <si>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</si>
  <si>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</si>
  <si>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</si>
  <si>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</si>
  <si>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</si>
  <si>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</si>
  <si>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</si>
  <si>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</si>
  <si>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</si>
  <si>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</si>
  <si>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</si>
  <si>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</si>
  <si>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</si>
  <si>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</si>
  <si>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</si>
  <si>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</si>
  <si>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</si>
  <si>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</si>
  <si>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</si>
  <si>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</si>
  <si>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</si>
  <si>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</si>
  <si>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</si>
  <si>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</si>
  <si>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</si>
  <si>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</si>
  <si>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</si>
  <si>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</si>
  <si>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</si>
  <si>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</si>
  <si>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</si>
  <si>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</si>
  <si>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</si>
  <si>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</si>
  <si>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</si>
  <si>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</si>
  <si>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</si>
  <si>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</si>
  <si>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</si>
  <si>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</si>
  <si>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</si>
  <si>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</si>
  <si>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</si>
  <si>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</si>
  <si>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</si>
  <si>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</si>
  <si>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</si>
  <si>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</si>
  <si>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</si>
  <si>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</si>
  <si>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</si>
  <si>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</si>
  <si>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</si>
  <si>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</si>
  <si>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</si>
  <si>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</si>
  <si>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</si>
  <si>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</si>
  <si>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</si>
  <si>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</si>
  <si>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</si>
  <si>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</si>
  <si>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</si>
  <si>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</si>
  <si>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</si>
  <si>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</si>
  <si>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</si>
  <si>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</si>
  <si>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</si>
  <si>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</si>
  <si>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</si>
  <si>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</si>
  <si>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</si>
  <si>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</si>
  <si>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</si>
  <si>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</si>
  <si>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</si>
  <si>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</si>
  <si>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</si>
  <si>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</si>
  <si>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</si>
  <si>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</si>
  <si>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</si>
  <si>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</si>
  <si>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</si>
  <si>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</si>
  <si>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</si>
  <si>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</si>
  <si>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</si>
  <si>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</si>
  <si>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</si>
  <si>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</si>
  <si>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</si>
  <si>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</si>
  <si>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</si>
  <si>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</si>
  <si>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</si>
  <si>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</si>
  <si>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</si>
  <si>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</si>
  <si>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</si>
  <si>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</si>
  <si>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</si>
  <si>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</si>
  <si>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</si>
  <si>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</si>
  <si>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</si>
  <si>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</si>
  <si>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</si>
  <si>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</si>
  <si>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</si>
  <si>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</si>
  <si>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</si>
  <si>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</si>
  <si>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</si>
  <si>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</si>
  <si>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</si>
  <si>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</si>
  <si>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</si>
  <si>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</si>
  <si>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</si>
  <si>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</si>
  <si>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</si>
  <si>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</si>
  <si>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</si>
  <si>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</si>
  <si>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</si>
  <si>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</si>
  <si>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</si>
  <si>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</si>
  <si>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</si>
  <si>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</si>
  <si>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</si>
  <si>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</si>
  <si>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</si>
  <si>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</si>
  <si>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</si>
  <si>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</si>
  <si>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</si>
  <si>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</si>
  <si>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</si>
  <si>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</si>
  <si>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</si>
  <si>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</si>
  <si>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</si>
  <si>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</si>
  <si>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</si>
  <si>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</si>
  <si>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</si>
  <si>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</si>
  <si>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</si>
  <si>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</si>
  <si>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</si>
  <si>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</si>
  <si>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</si>
  <si>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</si>
  <si>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</si>
  <si>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</si>
  <si>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</si>
  <si>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</si>
  <si>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</si>
  <si>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</si>
  <si>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</si>
  <si>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</si>
  <si>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</si>
  <si>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</si>
  <si>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</si>
  <si>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</si>
  <si>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</si>
  <si>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</si>
  <si>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</si>
  <si>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</si>
  <si>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</si>
  <si>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</si>
  <si>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</si>
  <si>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</si>
  <si>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</si>
  <si>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</si>
  <si>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</si>
  <si>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</si>
  <si>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</si>
  <si>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</si>
  <si>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</si>
  <si>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</si>
  <si>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</si>
  <si>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</si>
  <si>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</si>
  <si>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</si>
  <si>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</si>
  <si>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</si>
  <si>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</si>
  <si>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</si>
  <si>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</si>
  <si>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</si>
  <si>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</si>
  <si>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</si>
  <si>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</si>
  <si>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</si>
  <si>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</si>
  <si>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</si>
  <si>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</si>
  <si>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</si>
  <si>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</si>
  <si>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</si>
  <si>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</si>
  <si>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</si>
  <si>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</si>
  <si>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</si>
  <si>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</si>
  <si>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</si>
  <si>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</si>
  <si>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</si>
  <si>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</si>
  <si>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</si>
  <si>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</si>
  <si>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</si>
  <si>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</si>
  <si>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</si>
  <si>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</si>
  <si>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</si>
  <si>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</si>
  <si>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</si>
  <si>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</si>
  <si>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</si>
  <si>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</si>
  <si>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</si>
  <si>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</si>
  <si>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</si>
  <si>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</si>
  <si>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</si>
  <si>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</si>
  <si>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</si>
  <si>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</si>
  <si>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</si>
  <si>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</si>
  <si>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</si>
  <si>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</si>
  <si>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</si>
  <si>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</si>
  <si>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</si>
  <si>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</si>
  <si>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</si>
  <si>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</si>
  <si>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</si>
  <si>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</si>
  <si>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</si>
  <si>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</si>
  <si>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</si>
  <si>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</si>
  <si>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</si>
  <si>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</si>
  <si>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</si>
  <si>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</si>
  <si>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</si>
  <si>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</si>
  <si>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</si>
  <si>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</si>
  <si>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</si>
  <si>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</si>
  <si>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</si>
  <si>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</si>
  <si>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</si>
  <si>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</si>
  <si>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</si>
  <si>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</si>
  <si>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</si>
  <si>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</si>
  <si>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</si>
  <si>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</si>
  <si>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</si>
  <si>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</si>
  <si>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</si>
  <si>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</si>
  <si>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</si>
  <si>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</si>
  <si>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</si>
  <si>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</si>
  <si>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</si>
  <si>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</si>
  <si>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</si>
  <si>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</si>
  <si>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</si>
  <si>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</si>
  <si>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</si>
  <si>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</si>
  <si>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</si>
  <si>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</si>
  <si>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</si>
  <si>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</si>
  <si>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</si>
  <si>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</si>
  <si>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</si>
  <si>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</si>
  <si>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</si>
  <si>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</si>
  <si>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</si>
  <si>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</si>
  <si>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</si>
  <si>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</si>
  <si>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</si>
  <si>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</si>
  <si>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</si>
  <si>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</si>
  <si>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</si>
  <si>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</si>
  <si>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</si>
  <si>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</si>
  <si>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</si>
  <si>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</si>
  <si>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</si>
  <si>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</si>
  <si>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</si>
  <si>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</si>
  <si>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</si>
  <si>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</si>
  <si>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</si>
  <si>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</si>
  <si>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</si>
  <si>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</si>
  <si>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</si>
  <si>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</si>
  <si>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</si>
  <si>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</si>
  <si>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</si>
  <si>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</si>
  <si>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</si>
  <si>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</si>
  <si>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</si>
  <si>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</si>
  <si>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</si>
  <si>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</si>
  <si>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</si>
  <si>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</si>
  <si>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</si>
  <si>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</si>
  <si>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</si>
  <si>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</si>
  <si>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</si>
  <si>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</si>
  <si>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</si>
  <si>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</si>
  <si>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</si>
  <si>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</si>
  <si>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</si>
  <si>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</si>
  <si>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</si>
  <si>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</si>
  <si>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</si>
  <si>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</si>
  <si>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</si>
  <si>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</si>
  <si>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</si>
  <si>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</si>
  <si>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</si>
  <si>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</si>
  <si>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</si>
  <si>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</si>
  <si>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</si>
  <si>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</si>
  <si>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</si>
  <si>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</si>
  <si>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</si>
  <si>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</si>
  <si>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</si>
  <si>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</si>
  <si>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</si>
  <si>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</si>
  <si>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</si>
  <si>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</si>
  <si>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</si>
  <si>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</si>
  <si>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</si>
  <si>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</si>
  <si>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</si>
  <si>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</si>
  <si>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</si>
  <si>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</si>
  <si>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</si>
  <si>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</si>
  <si>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</si>
  <si>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</si>
  <si>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</si>
  <si>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</si>
  <si>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</si>
  <si>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</si>
  <si>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</si>
  <si>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</si>
  <si>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</si>
  <si>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</si>
  <si>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</si>
  <si>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</si>
  <si>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</si>
  <si>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</si>
  <si>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</si>
  <si>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</si>
  <si>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</si>
  <si>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</si>
  <si>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</si>
  <si>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</si>
  <si>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</si>
  <si>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</si>
  <si>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</si>
  <si>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</si>
  <si>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</si>
  <si>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</si>
  <si>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</si>
  <si>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</si>
  <si>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</si>
  <si>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</si>
  <si>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</si>
  <si>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</si>
  <si>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</si>
  <si>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</si>
  <si>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</si>
  <si>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</si>
  <si>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</si>
  <si>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</si>
  <si>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</si>
  <si>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</si>
  <si>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</si>
  <si>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</si>
  <si>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</si>
  <si>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</si>
  <si>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</si>
  <si>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</si>
  <si>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</si>
  <si>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</si>
  <si>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</si>
  <si>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</si>
  <si>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</si>
  <si>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</si>
  <si>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</si>
  <si>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</si>
  <si>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</si>
  <si>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</si>
  <si>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</si>
  <si>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</si>
  <si>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</si>
  <si>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</si>
  <si>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</si>
  <si>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</si>
  <si>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</si>
  <si>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</si>
  <si>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</si>
  <si>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</si>
  <si>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</si>
  <si>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</si>
  <si>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</si>
  <si>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</si>
  <si>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</si>
  <si>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</si>
  <si>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</si>
  <si>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</si>
  <si>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</si>
  <si>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</si>
  <si>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</si>
  <si>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</si>
  <si>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</si>
  <si>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</si>
  <si>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</si>
  <si>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</si>
  <si>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</si>
  <si>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</si>
  <si>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</si>
  <si>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</si>
  <si>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</si>
  <si>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</si>
  <si>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</si>
  <si>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</si>
  <si>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</si>
  <si>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</si>
  <si>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</si>
  <si>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</si>
  <si>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</si>
  <si>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</si>
  <si>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</si>
  <si>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</si>
  <si>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</si>
  <si>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</si>
  <si>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</si>
  <si>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</si>
  <si>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</si>
  <si>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</si>
  <si>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</si>
  <si>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</si>
  <si>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</si>
  <si>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</si>
  <si>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</si>
  <si>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</si>
  <si>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</si>
  <si>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</si>
  <si>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</si>
  <si>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</si>
  <si>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</si>
  <si>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</si>
  <si>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</si>
  <si>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</si>
  <si>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</si>
  <si>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</si>
  <si>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</si>
  <si>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</si>
  <si>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</si>
  <si>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</si>
  <si>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</si>
  <si>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</si>
  <si>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</si>
  <si>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</si>
  <si>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</si>
  <si>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</si>
  <si>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</si>
  <si>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</si>
  <si>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</si>
  <si>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</si>
  <si>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</si>
  <si>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</si>
  <si>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</si>
  <si>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</si>
  <si>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</si>
  <si>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</si>
  <si>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</si>
  <si>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</si>
  <si>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</si>
  <si>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</si>
  <si>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</si>
  <si>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</si>
  <si>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</si>
  <si>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</si>
  <si>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</si>
  <si>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</si>
  <si>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</si>
  <si>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</si>
  <si>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</si>
  <si>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</si>
  <si>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</si>
  <si>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</si>
  <si>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</si>
  <si>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</si>
  <si>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</si>
  <si>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</si>
  <si>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</si>
  <si>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</si>
  <si>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</si>
  <si>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</si>
  <si>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</si>
  <si>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</si>
  <si>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</si>
  <si>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</si>
  <si>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</si>
  <si>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</si>
  <si>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</si>
  <si>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</si>
  <si>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</si>
  <si>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</si>
  <si>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</si>
  <si>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</si>
  <si>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</si>
  <si>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</si>
  <si>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</si>
  <si>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</si>
  <si>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</si>
  <si>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</si>
  <si>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</si>
  <si>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</si>
  <si>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</si>
  <si>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</si>
  <si>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</si>
  <si>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</si>
  <si>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</si>
  <si>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</si>
  <si>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</si>
  <si>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</si>
  <si>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</si>
  <si>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</si>
  <si>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</si>
  <si>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</si>
  <si>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</si>
  <si>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</si>
  <si>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</si>
  <si>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</si>
  <si>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</si>
  <si>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</si>
  <si>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</si>
  <si>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</si>
  <si>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</si>
  <si>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</si>
  <si>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</si>
  <si>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</si>
  <si>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</si>
  <si>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</si>
  <si>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</si>
  <si>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</si>
  <si>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</si>
  <si>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</si>
  <si>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</si>
  <si>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</si>
  <si>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</si>
  <si>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</si>
  <si>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</si>
  <si>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</si>
  <si>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</si>
  <si>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</si>
  <si>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</si>
  <si>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</si>
  <si>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</si>
  <si>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</si>
  <si>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</si>
  <si>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</si>
  <si>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</si>
  <si>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</si>
  <si>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</si>
  <si>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</si>
  <si>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</si>
  <si>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</si>
  <si>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</si>
  <si>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</si>
  <si>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</si>
  <si>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</si>
  <si>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</si>
  <si>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</si>
  <si>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</si>
  <si>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</si>
  <si>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</si>
  <si>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</si>
  <si>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</si>
  <si>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</si>
  <si>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</si>
  <si>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</si>
  <si>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</si>
  <si>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</si>
  <si>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</si>
  <si>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</si>
  <si>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</si>
  <si>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</si>
  <si>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</si>
  <si>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</si>
  <si>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</si>
  <si>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</si>
  <si>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</si>
  <si>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</si>
  <si>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</si>
  <si>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</si>
  <si>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</si>
  <si>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</si>
  <si>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</si>
  <si>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</si>
  <si>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</si>
  <si>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</si>
  <si>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</si>
  <si>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</si>
  <si>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</si>
  <si>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</si>
  <si>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</si>
  <si>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</si>
  <si>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</si>
  <si>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</si>
  <si>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</si>
  <si>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</si>
  <si>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</si>
  <si>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</si>
  <si>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</si>
  <si>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</si>
  <si>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</si>
  <si>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</si>
  <si>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</si>
  <si>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</si>
  <si>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</si>
  <si>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</si>
  <si>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</si>
  <si>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</si>
  <si>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</si>
  <si>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</si>
  <si>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</si>
  <si>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</si>
  <si>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</si>
  <si>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</si>
  <si>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</si>
  <si>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</si>
  <si>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</si>
  <si>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</si>
  <si>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</si>
  <si>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</si>
  <si>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</si>
  <si>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</si>
  <si>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</si>
  <si>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</si>
  <si>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</si>
  <si>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</si>
  <si>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</si>
  <si>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</si>
  <si>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</si>
  <si>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</si>
  <si>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</si>
  <si>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</si>
  <si>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</si>
  <si>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</si>
  <si>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</si>
  <si>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</si>
  <si>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</si>
  <si>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</si>
  <si>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</si>
  <si>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</si>
  <si>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</si>
  <si>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</si>
  <si>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</si>
  <si>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</si>
  <si>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</si>
  <si>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</si>
  <si>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</si>
  <si>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</si>
  <si>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</si>
  <si>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</si>
  <si>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</si>
  <si>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</si>
  <si>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</si>
  <si>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</si>
  <si>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</si>
  <si>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</si>
  <si>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</si>
  <si>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</si>
  <si>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</si>
  <si>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</si>
  <si>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</si>
  <si>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</si>
  <si>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</si>
  <si>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</si>
  <si>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</si>
  <si>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</si>
  <si>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</si>
  <si>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</si>
  <si>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</si>
  <si>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</si>
  <si>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</si>
  <si>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</si>
  <si>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</si>
  <si>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</si>
  <si>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</si>
  <si>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</si>
  <si>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</si>
  <si>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</si>
  <si>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</si>
  <si>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</si>
  <si>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</si>
  <si>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</si>
  <si>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</si>
  <si>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</si>
  <si>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</si>
  <si>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</si>
  <si>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</si>
  <si>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</si>
  <si>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</si>
  <si>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</si>
  <si>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</si>
  <si>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</si>
  <si>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</si>
  <si>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</si>
  <si>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</si>
  <si>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</si>
  <si>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</si>
  <si>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</si>
  <si>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</si>
  <si>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</si>
  <si>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</si>
  <si>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</si>
  <si>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</si>
  <si>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</si>
  <si>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</si>
  <si>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</si>
  <si>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</si>
  <si>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</si>
  <si>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</si>
  <si>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</si>
  <si>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</si>
  <si>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</si>
  <si>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</si>
  <si>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</si>
  <si>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</si>
  <si>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</si>
  <si>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</si>
  <si>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</si>
  <si>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</si>
  <si>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</si>
  <si>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</si>
  <si>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</si>
  <si>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</si>
  <si>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</si>
  <si>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</si>
  <si>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</si>
  <si>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</si>
  <si>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</si>
  <si>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</si>
  <si>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</si>
  <si>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</si>
  <si>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</si>
  <si>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</si>
  <si>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</si>
  <si>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</si>
  <si>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</si>
  <si>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</si>
  <si>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</si>
  <si>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</si>
  <si>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</si>
  <si>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</si>
  <si>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</si>
  <si>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</si>
  <si>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</si>
  <si>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</si>
  <si>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</si>
  <si>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</si>
  <si>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</si>
  <si>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</si>
  <si>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</si>
  <si>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</si>
  <si>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</si>
  <si>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</si>
  <si>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</si>
  <si>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</si>
  <si>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</si>
  <si>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</si>
  <si>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</si>
  <si>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</si>
  <si>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</si>
  <si>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</si>
  <si>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</si>
  <si>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</si>
  <si>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</si>
  <si>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</si>
  <si>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</si>
  <si>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</si>
  <si>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</si>
  <si>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</si>
  <si>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</si>
  <si>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</si>
  <si>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</si>
  <si>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</si>
  <si>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</si>
  <si>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</si>
  <si>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</si>
  <si>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</si>
  <si>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</si>
  <si>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</si>
  <si>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</si>
  <si>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</si>
  <si>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</si>
  <si>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</si>
  <si>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</si>
  <si>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</si>
  <si>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</si>
  <si>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</si>
  <si>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</si>
  <si>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</si>
  <si>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</si>
  <si>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</si>
  <si>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</si>
  <si>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</si>
  <si>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</si>
  <si>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</si>
  <si>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</si>
  <si>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</si>
  <si>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</si>
  <si>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</si>
  <si>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</si>
  <si>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</si>
  <si>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</si>
  <si>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</si>
  <si>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</si>
  <si>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</si>
  <si>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</si>
  <si>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</si>
  <si>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</si>
  <si>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</si>
  <si>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</si>
  <si>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</si>
  <si>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</si>
  <si>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</si>
  <si>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</si>
  <si>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</si>
  <si>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</si>
  <si>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</si>
  <si>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</si>
  <si>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</si>
  <si>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</si>
  <si>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</si>
  <si>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</si>
  <si>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</si>
  <si>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</si>
  <si>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</si>
  <si>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</si>
  <si>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</si>
  <si>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</si>
  <si>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</si>
  <si>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</si>
  <si>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</si>
  <si>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</si>
  <si>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</si>
  <si>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</si>
  <si>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</si>
  <si>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</si>
  <si>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</si>
  <si>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</si>
  <si>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</si>
  <si>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</si>
  <si>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</si>
  <si>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</si>
  <si>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</si>
  <si>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</si>
  <si>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</si>
  <si>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</si>
  <si>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</si>
  <si>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</si>
  <si>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</si>
  <si>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</si>
  <si>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</si>
  <si>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</si>
  <si>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</si>
  <si>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</si>
  <si>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</si>
  <si>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</si>
  <si>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</si>
  <si>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</si>
  <si>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</si>
  <si>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</si>
  <si>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</si>
  <si>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</si>
  <si>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</si>
  <si>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</si>
  <si>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</si>
  <si>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</si>
  <si>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</si>
  <si>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</si>
  <si>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</si>
  <si>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</si>
  <si>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</si>
  <si>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</si>
  <si>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</si>
  <si>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</si>
  <si>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</si>
  <si>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</si>
  <si>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</si>
  <si>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</si>
  <si>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</si>
  <si>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</si>
  <si>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</si>
  <si>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</si>
  <si>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</si>
  <si>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</si>
  <si>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</si>
  <si>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</si>
  <si>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</si>
  <si>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</si>
  <si>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</si>
  <si>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</si>
  <si>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</si>
  <si>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</si>
  <si>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</si>
  <si>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</si>
  <si>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</si>
  <si>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</si>
  <si>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</si>
  <si>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</si>
  <si>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</si>
  <si>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</si>
  <si>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</si>
  <si>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</si>
  <si>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</si>
  <si>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</si>
  <si>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</si>
  <si>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</si>
  <si>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</si>
  <si>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</si>
  <si>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</si>
  <si>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</si>
  <si>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</si>
  <si>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</si>
  <si>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</si>
  <si>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</si>
  <si>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</si>
  <si>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</si>
  <si>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</si>
  <si>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</si>
  <si>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</si>
  <si>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</si>
  <si>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</si>
  <si>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</si>
  <si>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</si>
  <si>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</si>
  <si>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</si>
  <si>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</si>
  <si>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</si>
  <si>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</si>
  <si>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</si>
  <si>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</si>
  <si>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</si>
  <si>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</si>
  <si>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</si>
  <si>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</si>
  <si>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</si>
  <si>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</si>
  <si>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</si>
  <si>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</si>
  <si>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</si>
  <si>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</si>
  <si>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</si>
  <si>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</si>
  <si>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</si>
  <si>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</si>
  <si>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</si>
  <si>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</si>
  <si>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</si>
  <si>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</si>
  <si>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</si>
  <si>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</si>
  <si>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</si>
  <si>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</si>
  <si>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</si>
  <si>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</si>
  <si>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</si>
  <si>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</si>
  <si>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</si>
  <si>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</si>
  <si>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</si>
  <si>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</si>
  <si>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</si>
  <si>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</si>
  <si>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</si>
  <si>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</si>
  <si>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</si>
  <si>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</si>
  <si>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</si>
  <si>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</si>
  <si>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</si>
  <si>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</si>
  <si>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</si>
  <si>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</si>
  <si>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</si>
  <si>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</si>
  <si>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</si>
  <si>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</si>
  <si>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</si>
  <si>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</si>
  <si>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</si>
  <si>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</si>
  <si>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</si>
  <si>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</si>
  <si>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</si>
  <si>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</si>
  <si>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</si>
  <si>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</si>
  <si>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</si>
  <si>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</si>
  <si>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</si>
  <si>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</si>
  <si>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</si>
  <si>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</si>
  <si>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</si>
  <si>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</si>
  <si>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</si>
  <si>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</si>
  <si>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</si>
  <si>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</si>
  <si>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</si>
  <si>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</si>
  <si>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</si>
  <si>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</si>
  <si>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</si>
  <si>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</si>
  <si>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</si>
  <si>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</si>
  <si>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</si>
  <si>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</si>
  <si>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</si>
  <si>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</si>
  <si>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</si>
  <si>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</si>
  <si>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</si>
  <si>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</si>
  <si>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</si>
  <si>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</si>
  <si>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</si>
  <si>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</si>
  <si>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</si>
  <si>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</si>
  <si>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</si>
  <si>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</si>
  <si>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</si>
  <si>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</si>
  <si>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</si>
  <si>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</si>
  <si>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</si>
  <si>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</si>
  <si>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</si>
  <si>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</si>
  <si>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</si>
  <si>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</si>
  <si>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</si>
  <si>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</si>
  <si>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</si>
  <si>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</si>
  <si>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</si>
  <si>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</si>
  <si>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</si>
  <si>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</si>
  <si>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</si>
  <si>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</si>
  <si>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</si>
  <si>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</si>
  <si>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</si>
  <si>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</si>
  <si>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</si>
  <si>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</si>
  <si>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</si>
  <si>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</si>
  <si>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</si>
  <si>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</si>
  <si>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</si>
  <si>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</si>
  <si>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</si>
  <si>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</si>
  <si>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</si>
  <si>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</si>
  <si>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</si>
  <si>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</si>
  <si>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</si>
  <si>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</si>
  <si>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</si>
  <si>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</si>
  <si>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</si>
  <si>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</si>
  <si>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</si>
  <si>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</si>
  <si>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</si>
  <si>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</si>
  <si>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</si>
  <si>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</si>
  <si>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</si>
  <si>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</si>
  <si>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</si>
  <si>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</si>
  <si>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</si>
  <si>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</si>
  <si>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</si>
  <si>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</si>
  <si>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</si>
  <si>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</si>
  <si>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</si>
  <si>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</si>
  <si>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</si>
  <si>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</si>
  <si>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</si>
  <si>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</si>
  <si>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</si>
  <si>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</si>
  <si>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</si>
  <si>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</si>
  <si>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</si>
  <si>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</si>
  <si>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</si>
  <si>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</si>
  <si>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</si>
  <si>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</si>
  <si>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</si>
  <si>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</si>
  <si>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</si>
  <si>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</si>
  <si>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</si>
  <si>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</si>
  <si>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</si>
  <si>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</si>
  <si>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</si>
  <si>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</si>
  <si>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</si>
  <si>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</si>
  <si>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</si>
  <si>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</si>
  <si>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</si>
  <si>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</si>
  <si>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</si>
  <si>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</si>
  <si>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</si>
  <si>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</si>
  <si>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</si>
  <si>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</si>
  <si>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</si>
  <si>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</si>
  <si>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</si>
  <si>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</si>
  <si>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</si>
  <si>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</si>
  <si>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</si>
  <si>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</si>
  <si>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</si>
  <si>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</si>
  <si>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</si>
  <si>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</si>
  <si>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</si>
  <si>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</si>
  <si>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</si>
  <si>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</si>
  <si>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</si>
  <si>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</si>
  <si>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</si>
  <si>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</si>
  <si>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</si>
  <si>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</si>
  <si>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</si>
  <si>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</si>
  <si>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</si>
  <si>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</si>
  <si>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</si>
  <si>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</si>
  <si>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</si>
  <si>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</si>
  <si>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</si>
  <si>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</si>
  <si>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</si>
  <si>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</si>
  <si>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</si>
  <si>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</si>
  <si>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</si>
  <si>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</si>
  <si>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</si>
  <si>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</si>
  <si>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</si>
  <si>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</si>
  <si>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</si>
  <si>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</si>
  <si>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</si>
  <si>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</si>
  <si>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</si>
  <si>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</si>
  <si>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</si>
  <si>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</si>
  <si>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</si>
  <si>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</si>
  <si>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</si>
  <si>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</si>
  <si>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</si>
  <si>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</si>
  <si>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</si>
  <si>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</si>
  <si>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</si>
  <si>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</si>
  <si>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</si>
  <si>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</si>
  <si>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</si>
  <si>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</si>
  <si>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</si>
  <si>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</si>
  <si>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</si>
  <si>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</si>
  <si>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</si>
  <si>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</si>
  <si>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</si>
  <si>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</si>
  <si>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</si>
  <si>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</si>
  <si>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</si>
  <si>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</si>
  <si>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</si>
  <si>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</si>
  <si>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</si>
  <si>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</si>
  <si>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</si>
  <si>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</si>
  <si>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</si>
  <si>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</si>
  <si>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</si>
  <si>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</si>
  <si>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</si>
  <si>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</si>
  <si>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</si>
  <si>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</si>
  <si>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</si>
  <si>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</si>
  <si>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</si>
  <si>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</si>
  <si>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</si>
  <si>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</si>
  <si>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</si>
  <si>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</si>
  <si>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</si>
  <si>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</si>
  <si>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</si>
  <si>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</si>
  <si>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</si>
  <si>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</si>
  <si>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</si>
  <si>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</si>
  <si>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</si>
  <si>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</si>
  <si>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</si>
  <si>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</si>
  <si>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</si>
  <si>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</si>
  <si>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</si>
  <si>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</si>
  <si>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</si>
  <si>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</si>
  <si>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</si>
  <si>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</si>
  <si>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</si>
  <si>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</si>
  <si>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</si>
  <si>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</si>
  <si>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</si>
  <si>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</si>
  <si>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</si>
  <si>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</si>
  <si>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</si>
  <si>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</si>
  <si>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</si>
  <si>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</si>
  <si>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</si>
  <si>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</si>
  <si>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</si>
  <si>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</si>
  <si>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</si>
  <si>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</si>
  <si>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</si>
  <si>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</si>
  <si>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</si>
  <si>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</si>
  <si>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</si>
  <si>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</si>
  <si>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</si>
  <si>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</si>
  <si>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</si>
  <si>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</si>
  <si>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</si>
  <si>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</si>
  <si>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</si>
  <si>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</si>
  <si>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</si>
  <si>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</si>
  <si>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</si>
  <si>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</si>
  <si>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</si>
  <si>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</si>
  <si>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</si>
  <si>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</si>
  <si>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</si>
  <si>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</si>
  <si>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</si>
  <si>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</si>
  <si>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</si>
  <si>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</si>
  <si>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</si>
  <si>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</si>
  <si>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</si>
  <si>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</si>
  <si>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</si>
  <si>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</si>
  <si>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</si>
  <si>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</si>
  <si>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</si>
  <si>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</si>
  <si>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</si>
  <si>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</si>
  <si>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</si>
  <si>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</si>
  <si>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</si>
  <si>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</si>
  <si>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</si>
  <si>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</si>
  <si>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</si>
  <si>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</si>
  <si>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</si>
  <si>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</si>
  <si>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</si>
  <si>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</si>
  <si>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</si>
  <si>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</si>
  <si>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</si>
  <si>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</si>
  <si>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</si>
  <si>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</si>
  <si>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</si>
  <si>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</si>
  <si>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</si>
  <si>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</si>
  <si>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</si>
  <si>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</si>
  <si>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</si>
  <si>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</si>
  <si>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</si>
  <si>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</si>
  <si>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</si>
  <si>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</si>
  <si>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</si>
  <si>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</si>
  <si>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</si>
  <si>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</si>
  <si>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</si>
  <si>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</si>
  <si>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</si>
  <si>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</si>
  <si>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</si>
  <si>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</si>
  <si>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</si>
  <si>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</si>
  <si>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</si>
  <si>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</si>
  <si>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</si>
  <si>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</si>
  <si>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</si>
  <si>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</si>
  <si>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</si>
  <si>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</si>
  <si>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</si>
  <si>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</si>
  <si>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</si>
  <si>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</si>
  <si>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</si>
  <si>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</si>
  <si>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</si>
  <si>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</si>
  <si>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</si>
  <si>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</si>
  <si>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</si>
  <si>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</si>
  <si>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</si>
  <si>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</si>
  <si>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</si>
  <si>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</si>
  <si>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</si>
  <si>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</si>
  <si>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</si>
  <si>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</si>
  <si>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</si>
  <si>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</si>
  <si>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</si>
  <si>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</si>
  <si>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</si>
  <si>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</si>
  <si>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</si>
  <si>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</si>
  <si>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</si>
  <si>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</si>
  <si>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</si>
  <si>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</si>
  <si>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</si>
  <si>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</si>
  <si>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</si>
  <si>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</si>
  <si>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</si>
  <si>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</si>
  <si>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</si>
  <si>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</si>
  <si>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</si>
  <si>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</si>
  <si>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</si>
  <si>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</si>
  <si>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</si>
  <si>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</si>
  <si>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</si>
  <si>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</si>
  <si>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</si>
  <si>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</si>
  <si>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</si>
  <si>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</si>
  <si>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</si>
  <si>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</si>
  <si>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</si>
  <si>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</si>
  <si>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</si>
  <si>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</si>
  <si>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</si>
  <si>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</si>
  <si>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</si>
  <si>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</si>
  <si>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</si>
  <si>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</si>
  <si>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</si>
  <si>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</si>
  <si>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</si>
  <si>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</si>
  <si>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</si>
  <si>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</si>
  <si>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</si>
  <si>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</si>
  <si>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</si>
  <si>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</si>
  <si>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</si>
  <si>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</si>
  <si>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</si>
  <si>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</si>
  <si>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</si>
  <si>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</si>
  <si>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</si>
  <si>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</si>
  <si>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</si>
  <si>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</si>
  <si>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</si>
  <si>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</si>
  <si>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</si>
  <si>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</si>
  <si>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</si>
  <si>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</si>
  <si>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</si>
  <si>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</si>
  <si>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</si>
  <si>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</si>
  <si>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</si>
  <si>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</si>
  <si>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</si>
  <si>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</si>
  <si>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</si>
  <si>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</si>
  <si>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</si>
  <si>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</si>
  <si>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</si>
  <si>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</si>
  <si>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</si>
  <si>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</si>
  <si>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</si>
  <si>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</si>
  <si>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</si>
  <si>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</si>
  <si>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</si>
  <si>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</si>
  <si>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</si>
  <si>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</si>
  <si>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</si>
  <si>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</si>
  <si>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</si>
  <si>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</si>
  <si>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</si>
  <si>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</si>
  <si>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</si>
  <si>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</si>
  <si>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</si>
  <si>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</si>
  <si>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</si>
  <si>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</si>
  <si>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</si>
  <si>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</si>
  <si>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</si>
  <si>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</si>
  <si>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</si>
  <si>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</si>
  <si>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</si>
  <si>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</si>
  <si>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</si>
  <si>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</si>
  <si>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</si>
  <si>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</si>
  <si>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</si>
  <si>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</si>
  <si>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</si>
  <si>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</si>
  <si>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</si>
  <si>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</si>
  <si>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</si>
  <si>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</si>
  <si>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</si>
  <si>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</si>
  <si>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</si>
  <si>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</si>
  <si>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</si>
  <si>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</si>
  <si>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</si>
  <si>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</si>
  <si>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</si>
  <si>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</si>
  <si>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</si>
  <si>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</si>
  <si>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</si>
  <si>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</si>
  <si>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</si>
  <si>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</si>
  <si>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</si>
  <si>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</si>
  <si>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</si>
  <si>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</si>
  <si>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</si>
  <si>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</si>
  <si>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</si>
  <si>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</si>
  <si>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</si>
  <si>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</si>
  <si>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</si>
  <si>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</si>
  <si>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</si>
  <si>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</si>
  <si>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</si>
  <si>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</si>
  <si>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</si>
  <si>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</si>
  <si>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</si>
  <si>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</si>
  <si>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</si>
  <si>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</si>
  <si>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</si>
  <si>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</si>
  <si>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</si>
  <si>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</si>
  <si>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</si>
  <si>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</si>
  <si>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</si>
  <si>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</si>
  <si>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</si>
  <si>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</si>
  <si>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</si>
  <si>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</si>
  <si>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</si>
  <si>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</si>
  <si>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</si>
  <si>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</si>
  <si>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</si>
  <si>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</si>
  <si>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</si>
  <si>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</si>
  <si>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</si>
  <si>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</si>
  <si>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</si>
  <si>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</si>
  <si>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</si>
  <si>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</si>
  <si>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</si>
  <si>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</si>
  <si>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</si>
  <si>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</si>
  <si>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</si>
  <si>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</si>
  <si>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</si>
  <si>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</si>
  <si>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</si>
  <si>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</si>
  <si>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</si>
  <si>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</si>
  <si>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</si>
  <si>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</si>
  <si>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</si>
  <si>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</si>
  <si>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</si>
  <si>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</si>
  <si>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</si>
  <si>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</si>
  <si>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</si>
  <si>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</si>
  <si>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</si>
  <si>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</si>
  <si>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</si>
  <si>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</si>
  <si>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</si>
  <si>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</si>
  <si>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</si>
  <si>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</si>
  <si>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</si>
  <si>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</si>
  <si>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</si>
  <si>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</si>
  <si>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</si>
  <si>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</si>
  <si>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</si>
  <si>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</si>
  <si>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</si>
  <si>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</si>
  <si>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</si>
  <si>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</si>
  <si>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</si>
  <si>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</si>
  <si>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</si>
  <si>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</si>
  <si>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</si>
  <si>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</si>
  <si>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</si>
  <si>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</si>
  <si>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</si>
  <si>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</si>
  <si>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</si>
  <si>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</si>
  <si>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</si>
  <si>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</si>
  <si>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</si>
  <si>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</si>
  <si>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</si>
  <si>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</si>
  <si>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</si>
  <si>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</si>
  <si>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</si>
  <si>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</si>
  <si>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</si>
  <si>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</si>
  <si>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</si>
  <si>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</si>
  <si>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</si>
  <si>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</si>
  <si>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</si>
  <si>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</si>
  <si>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</si>
  <si>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</si>
  <si>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</si>
  <si>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</si>
  <si>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</si>
  <si>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</si>
  <si>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</si>
  <si>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</si>
  <si>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</si>
  <si>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</si>
  <si>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</si>
  <si>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</si>
  <si>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</si>
  <si>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</si>
  <si>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</si>
  <si>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</si>
  <si>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</si>
  <si>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</si>
  <si>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</si>
  <si>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</si>
  <si>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</si>
  <si>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</si>
  <si>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</si>
  <si>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</si>
  <si>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</si>
  <si>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</si>
  <si>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</si>
  <si>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</si>
  <si>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</si>
  <si>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</si>
  <si>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</si>
  <si>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</si>
  <si>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</si>
  <si>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</si>
  <si>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</si>
  <si>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</si>
  <si>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</si>
  <si>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</si>
  <si>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</si>
  <si>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</si>
  <si>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</si>
  <si>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</si>
  <si>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</si>
  <si>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</si>
  <si>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</si>
  <si>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</si>
  <si>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</si>
  <si>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</si>
  <si>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</si>
  <si>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</si>
  <si>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</si>
  <si>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</si>
  <si>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</si>
  <si>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</si>
  <si>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</si>
  <si>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</si>
  <si>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</si>
  <si>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</si>
  <si>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</si>
  <si>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</si>
  <si>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</si>
  <si>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</si>
  <si>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</si>
  <si>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</si>
  <si>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</si>
  <si>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</si>
  <si>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</si>
  <si>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</si>
  <si>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</si>
  <si>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</si>
  <si>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</si>
  <si>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</si>
  <si>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</si>
  <si>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</si>
  <si>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</si>
  <si>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</si>
  <si>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</si>
  <si>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</si>
  <si>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</si>
  <si>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</si>
  <si>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</si>
  <si>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</si>
  <si>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</si>
  <si>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</si>
  <si>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</si>
  <si>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</si>
  <si>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</si>
  <si>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</si>
  <si>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</si>
  <si>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</si>
  <si>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</si>
  <si>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</si>
  <si>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</si>
  <si>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</si>
  <si>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</si>
  <si>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</si>
  <si>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</si>
  <si>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</si>
  <si>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</si>
  <si>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</si>
  <si>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</si>
  <si>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</si>
  <si>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</si>
  <si>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</si>
  <si>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</si>
  <si>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</si>
  <si>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</si>
  <si>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</si>
  <si>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</si>
  <si>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</si>
  <si>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</si>
  <si>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</si>
  <si>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</si>
  <si>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</si>
  <si>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</si>
  <si>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</si>
  <si>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</si>
  <si>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</si>
  <si>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</si>
  <si>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</si>
  <si>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</si>
  <si>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</si>
  <si>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</si>
  <si>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</si>
  <si>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</si>
  <si>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</si>
  <si>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</si>
  <si>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</si>
  <si>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</si>
  <si>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</si>
  <si>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</si>
  <si>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</si>
  <si>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</si>
  <si>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</si>
  <si>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</si>
  <si>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</si>
  <si>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</si>
  <si>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</si>
  <si>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</si>
  <si>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</si>
  <si>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</si>
  <si>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</si>
  <si>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</si>
  <si>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</si>
  <si>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</si>
  <si>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</si>
  <si>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</si>
  <si>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</si>
  <si>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</si>
  <si>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</si>
  <si>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</si>
  <si>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</si>
  <si>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</si>
  <si>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</si>
  <si>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</si>
  <si>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</si>
  <si>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</si>
  <si>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</si>
  <si>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</si>
  <si>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</si>
  <si>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</si>
  <si>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</si>
  <si>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</si>
  <si>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</si>
  <si>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</si>
  <si>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</si>
  <si>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</si>
  <si>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</si>
  <si>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</si>
  <si>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</si>
  <si>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</si>
  <si>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</si>
  <si>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</si>
  <si>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</si>
  <si>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</si>
  <si>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</si>
  <si>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</si>
  <si>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</si>
  <si>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</si>
  <si>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</si>
  <si>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</si>
  <si>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</si>
  <si>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</si>
  <si>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</si>
  <si>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</si>
  <si>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</si>
  <si>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</si>
  <si>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</si>
  <si>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</si>
  <si>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</si>
  <si>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</si>
  <si>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</si>
  <si>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</si>
  <si>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</si>
  <si>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</si>
  <si>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</si>
  <si>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</si>
  <si>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</si>
  <si>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</si>
  <si>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</si>
  <si>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</si>
  <si>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</si>
  <si>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</si>
  <si>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</si>
  <si>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</si>
  <si>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</si>
  <si>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</si>
  <si>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</si>
  <si>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</si>
  <si>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</si>
  <si>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</si>
  <si>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</si>
  <si>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</si>
  <si>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</si>
  <si>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</si>
  <si>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</si>
  <si>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</si>
  <si>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</si>
  <si>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</si>
  <si>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</si>
  <si>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</si>
  <si>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</si>
  <si>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</si>
  <si>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</si>
  <si>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</si>
  <si>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</si>
  <si>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</si>
  <si>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</si>
  <si>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</si>
  <si>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</si>
  <si>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</si>
  <si>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</si>
  <si>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</si>
  <si>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</si>
  <si>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</si>
  <si>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</si>
  <si>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</si>
  <si>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</si>
  <si>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</si>
  <si>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</si>
  <si>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</si>
  <si>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</si>
  <si>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</si>
  <si>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</si>
  <si>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</si>
  <si>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</si>
  <si>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</si>
  <si>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</si>
  <si>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</si>
  <si>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</si>
  <si>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</si>
  <si>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</si>
  <si>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</si>
  <si>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</si>
  <si>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</si>
  <si>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</si>
  <si>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</si>
  <si>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</si>
  <si>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</si>
  <si>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</si>
  <si>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</si>
  <si>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</si>
  <si>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</si>
  <si>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</si>
  <si>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</si>
  <si>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</si>
  <si>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</si>
  <si>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</si>
  <si>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</si>
  <si>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</si>
  <si>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</si>
  <si>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</si>
  <si>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</si>
  <si>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</si>
  <si>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</si>
  <si>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</si>
  <si>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</si>
  <si>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</si>
  <si>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</si>
  <si>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</si>
  <si>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</si>
  <si>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</si>
  <si>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</si>
  <si>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</si>
  <si>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</si>
  <si>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</si>
  <si>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</si>
  <si>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</si>
  <si>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</si>
  <si>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</si>
  <si>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</si>
  <si>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</si>
  <si>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</si>
  <si>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</si>
  <si>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</si>
  <si>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</si>
  <si>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</si>
  <si>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</si>
  <si>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</si>
  <si>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</si>
  <si>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</si>
  <si>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</si>
  <si>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</si>
  <si>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</si>
  <si>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</si>
  <si>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</si>
  <si>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</si>
  <si>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</si>
  <si>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</si>
  <si>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</si>
  <si>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</si>
  <si>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</si>
  <si>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</si>
  <si>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</si>
  <si>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</si>
  <si>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</si>
  <si>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</si>
  <si>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</si>
  <si>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</si>
  <si>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</si>
  <si>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</si>
  <si>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</si>
  <si>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</si>
  <si>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</si>
  <si>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</si>
  <si>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</si>
  <si>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</si>
  <si>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</si>
  <si>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</si>
  <si>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</si>
  <si>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</si>
  <si>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</si>
  <si>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</si>
  <si>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</si>
  <si>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</si>
  <si>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</si>
  <si>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</si>
  <si>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</si>
  <si>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</si>
  <si>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</si>
  <si>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</si>
  <si>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</si>
  <si>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</si>
  <si>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</si>
  <si>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</si>
  <si>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</si>
  <si>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</si>
  <si>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</si>
  <si>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</si>
  <si>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</si>
  <si>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</si>
  <si>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</si>
  <si>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</si>
  <si>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</si>
  <si>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</si>
  <si>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</si>
  <si>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</si>
  <si>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</si>
  <si>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</si>
  <si>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</si>
  <si>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</si>
  <si>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</si>
  <si>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</si>
  <si>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</si>
  <si>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</si>
  <si>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</si>
  <si>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</si>
  <si>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</si>
  <si>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</si>
  <si>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</si>
  <si>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</si>
  <si>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</si>
  <si>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</si>
  <si>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</si>
  <si>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</si>
  <si>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</si>
  <si>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</si>
  <si>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</si>
  <si>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</si>
  <si>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</si>
  <si>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</si>
  <si>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</si>
  <si>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</si>
  <si>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</si>
  <si>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</si>
  <si>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</si>
  <si>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</si>
  <si>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</si>
  <si>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</si>
  <si>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</si>
  <si>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</si>
  <si>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</si>
  <si>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</si>
  <si>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</si>
  <si>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</si>
  <si>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</si>
  <si>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</si>
  <si>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</si>
  <si>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</si>
  <si>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</si>
  <si>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</si>
  <si>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</si>
  <si>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</si>
  <si>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</si>
  <si>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</si>
  <si>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</si>
  <si>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</si>
  <si>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</si>
  <si>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</si>
  <si>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</si>
  <si>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</si>
  <si>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</si>
  <si>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</si>
  <si>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</si>
  <si>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</si>
  <si>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</si>
  <si>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</si>
  <si>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</si>
  <si>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</si>
  <si>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</si>
  <si>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</si>
  <si>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</si>
  <si>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</si>
  <si>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</si>
  <si>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</si>
  <si>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</si>
  <si>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</si>
  <si>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</si>
  <si>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</si>
  <si>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</si>
  <si>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</si>
  <si>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</si>
  <si>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</si>
  <si>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</si>
  <si>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</si>
  <si>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</si>
  <si>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</si>
  <si>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</si>
  <si>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</si>
  <si>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</si>
  <si>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</si>
  <si>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</si>
  <si>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</si>
  <si>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</si>
  <si>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</si>
  <si>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</si>
  <si>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</si>
  <si>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</si>
  <si>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</si>
  <si>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</si>
  <si>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</si>
  <si>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</si>
  <si>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</si>
  <si>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</si>
  <si>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</si>
  <si>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</si>
  <si>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</si>
  <si>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</si>
  <si>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</si>
  <si>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</si>
  <si>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</si>
  <si>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</si>
  <si>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</si>
  <si>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</si>
  <si>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</si>
  <si>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</si>
  <si>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</si>
  <si>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</si>
  <si>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</si>
  <si>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</si>
  <si>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</si>
  <si>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</si>
  <si>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</si>
  <si>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</si>
  <si>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</si>
  <si>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</si>
  <si>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</si>
  <si>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</si>
  <si>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</si>
  <si>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</si>
  <si>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</si>
  <si>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</si>
  <si>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</si>
  <si>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</si>
  <si>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</si>
  <si>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</si>
  <si>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</si>
  <si>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</si>
  <si>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</si>
  <si>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</si>
  <si>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</si>
  <si>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</si>
  <si>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</si>
  <si>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</si>
  <si>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</si>
  <si>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</si>
  <si>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</si>
  <si>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</si>
  <si>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</si>
  <si>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</si>
  <si>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</si>
  <si>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</si>
  <si>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</si>
  <si>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</si>
  <si>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</si>
  <si>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</si>
  <si>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</si>
  <si>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</si>
  <si>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</si>
  <si>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</si>
  <si>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</si>
  <si>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</si>
  <si>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</si>
  <si>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</si>
  <si>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</si>
  <si>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</si>
  <si>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</si>
  <si>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</si>
  <si>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</si>
  <si>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</si>
  <si>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</si>
  <si>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</si>
  <si>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</si>
  <si>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</si>
  <si>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</si>
  <si>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</si>
  <si>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</si>
  <si>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</si>
  <si>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</si>
  <si>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</si>
  <si>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</si>
  <si>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</si>
  <si>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</si>
  <si>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</si>
  <si>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</si>
  <si>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</si>
  <si>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</si>
  <si>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</si>
  <si>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</si>
  <si>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</si>
  <si>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</si>
  <si>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</si>
  <si>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</si>
  <si>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</si>
  <si>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</si>
  <si>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</si>
  <si>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</si>
  <si>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</si>
  <si>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</si>
  <si>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</si>
  <si>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</si>
  <si>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</si>
  <si>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</si>
  <si>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</si>
  <si>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</si>
  <si>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</si>
  <si>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</si>
  <si>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</si>
  <si>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</si>
  <si>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</si>
  <si>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</si>
  <si>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</si>
  <si>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</si>
  <si>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</si>
  <si>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</si>
  <si>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</si>
  <si>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</si>
  <si>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</si>
  <si>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</si>
  <si>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</si>
  <si>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</si>
  <si>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</si>
  <si>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</si>
  <si>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</si>
  <si>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</si>
  <si>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</si>
  <si>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</si>
  <si>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</si>
  <si>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</si>
  <si>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</si>
  <si>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</si>
  <si>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</si>
  <si>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</si>
  <si>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</si>
  <si>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</si>
  <si>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</si>
  <si>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</si>
  <si>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</si>
  <si>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</si>
  <si>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</si>
  <si>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</si>
  <si>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</si>
  <si>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</si>
  <si>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</si>
  <si>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</si>
  <si>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</si>
  <si>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</si>
  <si>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</si>
  <si>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</si>
  <si>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</si>
  <si>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</si>
  <si>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</si>
  <si>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</si>
  <si>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</si>
  <si>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</si>
  <si>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</si>
  <si>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</si>
  <si>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</si>
  <si>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</si>
  <si>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</si>
  <si>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</si>
  <si>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</si>
  <si>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</si>
  <si>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</si>
  <si>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</si>
  <si>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</si>
  <si>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</si>
  <si>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</si>
  <si>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</si>
  <si>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</si>
  <si>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</si>
  <si>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</si>
  <si>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</si>
  <si>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</si>
  <si>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</si>
  <si>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</si>
  <si>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</si>
  <si>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</si>
  <si>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</si>
  <si>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</si>
  <si>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</si>
  <si>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</si>
  <si>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</si>
  <si>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</si>
  <si>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</si>
  <si>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</si>
  <si>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</si>
  <si>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</si>
  <si>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</si>
  <si>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</si>
  <si>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</si>
  <si>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</si>
  <si>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</si>
  <si>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</si>
  <si>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</si>
  <si>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</si>
  <si>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</si>
  <si>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</si>
  <si>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</si>
  <si>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</si>
  <si>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</si>
  <si>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</si>
  <si>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</si>
  <si>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</si>
  <si>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</si>
  <si>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</si>
  <si>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</si>
  <si>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</si>
  <si>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</si>
  <si>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</si>
  <si>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</si>
  <si>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</si>
  <si>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</si>
  <si>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</si>
  <si>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</si>
  <si>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</si>
  <si>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</si>
  <si>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</si>
  <si>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</si>
  <si>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</si>
  <si>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</si>
  <si>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</si>
  <si>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</si>
  <si>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</si>
  <si>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</si>
  <si>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</si>
  <si>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</si>
  <si>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</si>
  <si>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</si>
  <si>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</si>
  <si>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</si>
  <si>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</si>
  <si>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</si>
  <si>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</si>
  <si>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</si>
  <si>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</si>
  <si>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</si>
  <si>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</si>
  <si>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</si>
  <si>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</si>
  <si>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</si>
  <si>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</si>
  <si>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</si>
  <si>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</si>
  <si>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</si>
  <si>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</si>
  <si>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</si>
  <si>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</si>
  <si>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</si>
  <si>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</si>
  <si>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</si>
  <si>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</si>
  <si>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</si>
  <si>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</si>
  <si>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</si>
  <si>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</si>
  <si>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</si>
  <si>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</si>
  <si>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</si>
  <si>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</si>
  <si>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</si>
  <si>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</si>
  <si>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</si>
  <si>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</si>
  <si>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</si>
  <si>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</si>
  <si>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</si>
  <si>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</si>
  <si>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</si>
  <si>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</si>
  <si>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</si>
  <si>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</si>
  <si>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</si>
  <si>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</si>
  <si>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</si>
  <si>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</si>
  <si>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</si>
  <si>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</si>
  <si>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</si>
  <si>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</si>
  <si>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</si>
  <si>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</si>
  <si>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</si>
  <si>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</si>
  <si>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</si>
  <si>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</si>
  <si>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</si>
  <si>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</si>
  <si>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</si>
  <si>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</si>
  <si>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</si>
  <si>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</si>
  <si>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</si>
  <si>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</si>
  <si>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</si>
  <si>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</si>
  <si>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</si>
  <si>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</si>
  <si>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</si>
  <si>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</si>
  <si>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</si>
  <si>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</si>
  <si>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</si>
  <si>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</si>
  <si>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</si>
  <si>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</si>
  <si>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</si>
  <si>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</si>
  <si>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</si>
  <si>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</si>
  <si>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</si>
  <si>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</si>
  <si>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</si>
  <si>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</si>
  <si>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</si>
  <si>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</si>
  <si>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</si>
  <si>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</si>
  <si>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</si>
  <si>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</si>
  <si>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</si>
  <si>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</si>
  <si>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</si>
  <si>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</si>
  <si>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</si>
  <si>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</si>
  <si>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</si>
  <si>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</si>
  <si>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</si>
  <si>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</si>
  <si>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</si>
  <si>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</si>
  <si>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</si>
  <si>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</si>
  <si>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</si>
  <si>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</si>
  <si>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</si>
  <si>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</si>
  <si>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</si>
  <si>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</si>
  <si>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</si>
  <si>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</si>
  <si>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</si>
  <si>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</si>
  <si>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</si>
  <si>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</si>
  <si>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</si>
  <si>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</si>
  <si>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</si>
  <si>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</si>
  <si>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</si>
  <si>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</si>
  <si>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</si>
  <si>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</si>
  <si>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</si>
  <si>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</si>
  <si>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</si>
  <si>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</si>
  <si>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</si>
  <si>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</si>
  <si>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</si>
  <si>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</si>
  <si>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</si>
  <si>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</si>
  <si>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</si>
  <si>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</si>
  <si>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</si>
  <si>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</si>
  <si>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</si>
  <si>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</si>
  <si>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</si>
  <si>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</si>
  <si>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</si>
  <si>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</si>
  <si>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</si>
  <si>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</si>
  <si>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</si>
  <si>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</si>
  <si>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</si>
  <si>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</si>
  <si>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</si>
  <si>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</si>
  <si>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</si>
  <si>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</si>
  <si>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</si>
  <si>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</si>
  <si>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</si>
  <si>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</si>
  <si>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</si>
  <si>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</si>
  <si>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</si>
  <si>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</si>
  <si>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</si>
  <si>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</si>
  <si>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</si>
  <si>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</si>
  <si>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</si>
  <si>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</si>
  <si>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</si>
  <si>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</si>
  <si>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</si>
  <si>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</si>
  <si>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</si>
  <si>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</si>
  <si>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</si>
  <si>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</si>
  <si>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</si>
  <si>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</si>
  <si>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</si>
  <si>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</si>
  <si>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</si>
  <si>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</si>
  <si>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</si>
  <si>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</si>
  <si>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</si>
  <si>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</si>
  <si>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</si>
  <si>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</si>
  <si>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</si>
  <si>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</si>
  <si>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</si>
  <si>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</si>
  <si>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</si>
  <si>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</si>
  <si>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</si>
  <si>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</si>
  <si>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</si>
  <si>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</si>
  <si>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</si>
  <si>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</si>
  <si>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</si>
  <si>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</si>
  <si>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</si>
  <si>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</si>
  <si>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</si>
  <si>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</si>
  <si>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</si>
  <si>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</si>
  <si>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</si>
  <si>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</si>
  <si>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</si>
  <si>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</si>
  <si>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</si>
  <si>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</si>
  <si>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</si>
  <si>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</si>
  <si>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</si>
  <si>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</si>
  <si>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</si>
  <si>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</si>
  <si>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</si>
  <si>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</si>
  <si>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</si>
  <si>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</si>
  <si>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</si>
  <si>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</si>
  <si>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</si>
  <si>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</si>
  <si>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</si>
  <si>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</si>
  <si>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</si>
  <si>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</si>
  <si>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</si>
  <si>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</si>
  <si>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</si>
  <si>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</si>
  <si>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</si>
  <si>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</si>
  <si>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</si>
  <si>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</si>
  <si>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</si>
  <si>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</si>
  <si>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</si>
  <si>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</si>
  <si>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</si>
  <si>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</si>
  <si>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</si>
  <si>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</si>
  <si>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</si>
  <si>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</si>
  <si>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</si>
  <si>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</si>
  <si>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</si>
  <si>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</si>
  <si>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</si>
  <si>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</si>
  <si>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</si>
  <si>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</si>
  <si>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</si>
  <si>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</si>
  <si>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</si>
  <si>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</si>
  <si>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</si>
  <si>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</si>
  <si>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</si>
  <si>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</si>
  <si>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</si>
  <si>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</si>
  <si>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</si>
  <si>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</si>
  <si>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</si>
  <si>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</si>
  <si>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</si>
  <si>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</si>
  <si>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</si>
  <si>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</si>
  <si>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</si>
  <si>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</si>
  <si>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</si>
  <si>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</si>
  <si>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</si>
  <si>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</si>
  <si>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</si>
  <si>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</si>
  <si>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</si>
  <si>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</si>
  <si>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</si>
  <si>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</si>
  <si>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</si>
  <si>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</si>
  <si>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</si>
  <si>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</si>
  <si>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</si>
  <si>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</si>
  <si>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</si>
  <si>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</si>
  <si>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</si>
  <si>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</si>
  <si>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</si>
  <si>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</si>
  <si>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</si>
  <si>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</si>
  <si>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</si>
  <si>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</si>
  <si>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</si>
  <si>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</si>
  <si>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</si>
  <si>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</si>
  <si>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</si>
  <si>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</si>
  <si>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</si>
  <si>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</si>
  <si>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</si>
  <si>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</si>
  <si>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</si>
  <si>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</si>
  <si>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</si>
  <si>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</si>
  <si>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</si>
  <si>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</si>
  <si>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</si>
  <si>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</si>
  <si>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</si>
  <si>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</si>
  <si>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</si>
  <si>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</si>
  <si>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</si>
  <si>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</si>
  <si>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</si>
  <si>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</si>
  <si>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</si>
  <si>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</si>
  <si>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</si>
  <si>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</si>
  <si>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</si>
  <si>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</si>
  <si>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</si>
  <si>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</si>
  <si>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</si>
  <si>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</si>
  <si>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</si>
  <si>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</si>
  <si>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</si>
  <si>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</si>
  <si>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</si>
  <si>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</si>
  <si>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</si>
  <si>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</si>
  <si>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</si>
  <si>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</si>
  <si>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</si>
  <si>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</si>
  <si>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</si>
  <si>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</si>
  <si>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</si>
  <si>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</si>
  <si>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</si>
  <si>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</si>
  <si>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</si>
  <si>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</si>
  <si>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</si>
  <si>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</si>
  <si>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</si>
  <si>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</si>
  <si>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</si>
  <si>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</si>
  <si>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</si>
  <si>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</si>
  <si>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</si>
  <si>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</si>
  <si>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</si>
  <si>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</si>
  <si>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</si>
  <si>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</si>
  <si>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</si>
  <si>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</si>
  <si>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</si>
  <si>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</si>
  <si>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</si>
  <si>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</si>
  <si>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</si>
  <si>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</si>
  <si>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</si>
  <si>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</si>
  <si>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</si>
  <si>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</si>
  <si>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</si>
  <si>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</si>
  <si>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</si>
  <si>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</si>
  <si>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</si>
  <si>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</si>
  <si>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</si>
  <si>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</si>
  <si>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</si>
  <si>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</si>
  <si>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</si>
  <si>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</si>
  <si>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</si>
  <si>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</si>
  <si>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</si>
  <si>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</si>
  <si>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</si>
  <si>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</si>
  <si>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</si>
  <si>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</si>
  <si>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</si>
  <si>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</si>
  <si>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</si>
  <si>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</si>
  <si>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</si>
  <si>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</si>
  <si>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</si>
  <si>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</si>
  <si>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</si>
  <si>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</si>
  <si>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</si>
  <si>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</si>
  <si>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</si>
  <si>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</si>
  <si>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</si>
  <si>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</si>
  <si>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</si>
  <si>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</si>
  <si>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</si>
  <si>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</si>
  <si>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</si>
  <si>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</si>
  <si>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</si>
  <si>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</si>
  <si>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</si>
  <si>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</si>
  <si>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</si>
  <si>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</si>
  <si>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</si>
  <si>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</si>
  <si>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</si>
  <si>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</si>
  <si>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</si>
  <si>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</si>
  <si>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</si>
  <si>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</si>
  <si>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</si>
  <si>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</si>
  <si>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</si>
  <si>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</si>
  <si>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</si>
  <si>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</si>
  <si>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</si>
  <si>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</si>
  <si>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</si>
  <si>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</si>
  <si>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</si>
  <si>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</si>
  <si>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</si>
  <si>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</si>
  <si>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</si>
  <si>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</si>
  <si>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</si>
  <si>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</si>
  <si>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</si>
  <si>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</si>
  <si>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</si>
  <si>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</si>
  <si>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</si>
  <si>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</si>
  <si>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</si>
  <si>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</si>
  <si>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</si>
  <si>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</si>
  <si>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</si>
  <si>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</si>
  <si>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</si>
  <si>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</si>
  <si>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</si>
  <si>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</si>
  <si>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</si>
  <si>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</si>
  <si>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</si>
  <si>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</si>
  <si>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</si>
  <si>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</si>
  <si>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</si>
  <si>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</si>
  <si>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</si>
  <si>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</si>
  <si>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</si>
  <si>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</si>
  <si>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</si>
  <si>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</si>
  <si>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</si>
  <si>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</si>
  <si>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</si>
  <si>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</si>
  <si>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</si>
  <si>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</si>
  <si>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</si>
  <si>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</si>
  <si>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</si>
  <si>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</si>
  <si>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</si>
  <si>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</si>
  <si>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</si>
  <si>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</si>
  <si>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</si>
  <si>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</si>
  <si>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</si>
  <si>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</si>
  <si>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</si>
  <si>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</si>
  <si>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</si>
  <si>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</si>
  <si>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</si>
  <si>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</si>
  <si>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</si>
  <si>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</si>
  <si>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</si>
  <si>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</si>
  <si>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</si>
  <si>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</si>
  <si>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</si>
  <si>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</si>
  <si>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</si>
  <si>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</si>
  <si>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</si>
  <si>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</si>
  <si>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</si>
  <si>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</si>
  <si>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</si>
  <si>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</si>
  <si>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</si>
  <si>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</si>
  <si>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</si>
  <si>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</si>
  <si>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</si>
  <si>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</si>
  <si>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</si>
  <si>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</si>
  <si>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</si>
  <si>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</si>
  <si>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</si>
  <si>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</si>
  <si>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</si>
  <si>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</si>
  <si>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</si>
  <si>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</si>
  <si>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</si>
  <si>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</si>
  <si>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</si>
  <si>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</si>
  <si>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</si>
  <si>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</si>
  <si>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</si>
  <si>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</si>
  <si>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</si>
  <si>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</si>
  <si>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</si>
  <si>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</si>
  <si>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</si>
  <si>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</si>
  <si>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</si>
  <si>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</si>
  <si>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</si>
  <si>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</si>
  <si>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</si>
  <si>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</si>
  <si>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</si>
  <si>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</si>
  <si>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</si>
  <si>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</si>
  <si>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</si>
  <si>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</si>
  <si>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</si>
  <si>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</si>
  <si>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</si>
  <si>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</si>
  <si>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</si>
  <si>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</si>
  <si>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</si>
  <si>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</si>
  <si>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</si>
  <si>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</si>
  <si>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</si>
  <si>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</si>
  <si>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</si>
  <si>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</si>
  <si>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</si>
  <si>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</si>
  <si>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</si>
  <si>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</si>
  <si>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</si>
  <si>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</si>
  <si>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</si>
  <si>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</si>
  <si>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</si>
  <si>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</si>
  <si>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</si>
  <si>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</si>
  <si>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</si>
  <si>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</si>
  <si>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</si>
  <si>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</si>
  <si>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</si>
  <si>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</si>
  <si>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</si>
  <si>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</si>
  <si>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</si>
  <si>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</si>
  <si>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</si>
  <si>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</si>
  <si>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</si>
  <si>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</si>
  <si>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</si>
  <si>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</si>
  <si>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</si>
  <si>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</si>
  <si>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</si>
  <si>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</si>
  <si>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</si>
  <si>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</si>
  <si>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</si>
  <si>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</si>
  <si>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</si>
  <si>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</si>
  <si>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</si>
  <si>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</si>
  <si>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</si>
  <si>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</si>
  <si>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</si>
  <si>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</si>
  <si>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</si>
  <si>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</si>
  <si>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</si>
  <si>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</si>
  <si>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</si>
  <si>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</si>
  <si>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</si>
  <si>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</si>
  <si>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</si>
  <si>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</si>
  <si>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</si>
  <si>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</si>
  <si>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</si>
  <si>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</si>
  <si>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</si>
  <si>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</si>
  <si>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</si>
  <si>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</si>
  <si>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</si>
  <si>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</si>
  <si>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</si>
  <si>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</si>
  <si>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</si>
  <si>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</si>
  <si>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</si>
  <si>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</si>
  <si>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</si>
  <si>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</si>
  <si>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</si>
  <si>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</si>
  <si>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</si>
  <si>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</si>
  <si>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</si>
  <si>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</si>
  <si>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</si>
  <si>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</si>
  <si>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</si>
  <si>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</si>
  <si>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</si>
  <si>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</si>
  <si>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</si>
  <si>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</si>
  <si>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</si>
  <si>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</si>
  <si>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</si>
  <si>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</si>
  <si>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</si>
  <si>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</si>
  <si>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</si>
  <si>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</si>
  <si>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</si>
  <si>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</si>
  <si>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</si>
  <si>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</si>
  <si>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</si>
  <si>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</si>
  <si>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</si>
  <si>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</si>
  <si>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</si>
  <si>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</si>
  <si>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</si>
  <si>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</si>
  <si>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</si>
  <si>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</si>
  <si>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</si>
  <si>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</si>
  <si>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</si>
  <si>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</si>
  <si>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</si>
  <si>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</si>
  <si>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</si>
  <si>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</si>
  <si>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</si>
  <si>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</si>
  <si>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</si>
  <si>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</si>
  <si>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</si>
  <si>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</si>
  <si>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</si>
  <si>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</si>
  <si>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</si>
  <si>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</si>
  <si>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</si>
  <si>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</si>
  <si>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</si>
  <si>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</si>
  <si>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</si>
  <si>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</si>
  <si>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</si>
  <si>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</si>
  <si>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</si>
  <si>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</si>
  <si>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</si>
  <si>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</si>
  <si>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</si>
  <si>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</si>
  <si>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</si>
  <si>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</si>
  <si>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</si>
  <si>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</si>
  <si>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</si>
  <si>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</si>
  <si>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</si>
  <si>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</si>
  <si>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</si>
  <si>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</si>
  <si>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</si>
  <si>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</si>
  <si>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</si>
  <si>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</si>
  <si>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</si>
  <si>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</si>
  <si>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</si>
  <si>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</si>
  <si>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</si>
  <si>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</si>
  <si>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</si>
  <si>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</si>
  <si>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</si>
  <si>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</si>
  <si>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</si>
  <si>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</si>
  <si>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</si>
  <si>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</si>
  <si>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</si>
  <si>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</si>
  <si>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</si>
  <si>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</si>
  <si>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</si>
  <si>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</si>
  <si>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</si>
  <si>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</si>
  <si>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</si>
  <si>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</si>
  <si>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</si>
  <si>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</si>
  <si>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</si>
  <si>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</si>
  <si>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</si>
  <si>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</si>
  <si>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</si>
  <si>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</si>
  <si>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</si>
  <si>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</si>
  <si>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</si>
  <si>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</si>
  <si>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</si>
  <si>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</si>
  <si>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</si>
  <si>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</si>
  <si>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</si>
  <si>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</si>
  <si>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</si>
  <si>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</si>
  <si>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</si>
  <si>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</si>
  <si>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</si>
  <si>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</si>
  <si>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</si>
  <si>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</si>
  <si>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</si>
  <si>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</si>
  <si>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</si>
  <si>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</si>
  <si>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</si>
  <si>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</si>
  <si>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</si>
  <si>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</si>
  <si>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</si>
  <si>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</si>
  <si>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</si>
  <si>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</si>
  <si>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</si>
  <si>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</si>
  <si>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</si>
  <si>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</si>
  <si>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</si>
  <si>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</si>
  <si>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</si>
  <si>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</si>
  <si>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</si>
  <si>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</si>
  <si>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</si>
  <si>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</si>
  <si>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</si>
  <si>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</si>
  <si>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</si>
  <si>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</si>
  <si>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</si>
  <si>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</si>
  <si>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</si>
  <si>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</si>
  <si>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</si>
  <si>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</si>
  <si>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</si>
  <si>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</si>
  <si>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</si>
  <si>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</si>
  <si>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</si>
  <si>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</si>
  <si>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</si>
  <si>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</si>
  <si>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</si>
  <si>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</si>
  <si>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</si>
  <si>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</si>
  <si>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</si>
  <si>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</si>
  <si>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</si>
  <si>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</si>
  <si>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</si>
  <si>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</si>
  <si>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</si>
  <si>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</si>
  <si>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</si>
  <si>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</si>
  <si>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</si>
  <si>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</si>
  <si>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</si>
  <si>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</si>
  <si>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</si>
  <si>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</si>
  <si>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</si>
  <si>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</si>
  <si>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</si>
  <si>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</si>
  <si>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</si>
  <si>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</si>
  <si>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</si>
  <si>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</si>
  <si>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</si>
  <si>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</si>
  <si>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</si>
  <si>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</si>
  <si>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</si>
  <si>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</si>
  <si>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</si>
  <si>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</si>
  <si>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</si>
  <si>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</si>
  <si>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</si>
  <si>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</si>
  <si>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</si>
  <si>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</si>
  <si>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</si>
  <si>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</si>
  <si>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</si>
  <si>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</si>
  <si>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</si>
  <si>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</si>
  <si>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</si>
  <si>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</si>
  <si>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</si>
  <si>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</si>
  <si>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</si>
  <si>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</si>
  <si>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</si>
  <si>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</si>
  <si>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</si>
  <si>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</si>
  <si>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</si>
  <si>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</si>
  <si>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</si>
  <si>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</si>
  <si>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</si>
  <si>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</si>
  <si>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</si>
  <si>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</si>
  <si>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</si>
  <si>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</si>
  <si>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</si>
  <si>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</si>
  <si>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</si>
  <si>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</si>
  <si>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</si>
  <si>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</si>
  <si>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</si>
  <si>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</si>
  <si>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</si>
  <si>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</si>
  <si>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</si>
  <si>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</si>
  <si>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</si>
  <si>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</si>
  <si>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</si>
  <si>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</si>
  <si>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</si>
  <si>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</si>
  <si>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</si>
  <si>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</si>
  <si>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</si>
  <si>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</si>
  <si>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</si>
  <si>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</si>
  <si>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</si>
  <si>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</si>
  <si>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</si>
  <si>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</si>
  <si>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</si>
  <si>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</si>
  <si>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</si>
  <si>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</si>
  <si>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</si>
  <si>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</si>
  <si>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</si>
  <si>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</si>
  <si>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</si>
  <si>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</si>
  <si>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</si>
  <si>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</si>
  <si>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</si>
  <si>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</si>
  <si>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</si>
  <si>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</si>
  <si>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</si>
  <si>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</si>
  <si>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</si>
  <si>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</si>
  <si>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</si>
  <si>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</si>
  <si>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</si>
  <si>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</si>
  <si>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</si>
  <si>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</si>
  <si>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</si>
  <si>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</si>
  <si>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</si>
  <si>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</si>
  <si>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</si>
  <si>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</si>
  <si>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</si>
  <si>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</si>
  <si>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</si>
  <si>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</si>
  <si>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</si>
  <si>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</si>
  <si>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</si>
  <si>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</si>
  <si>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</si>
  <si>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</si>
  <si>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</si>
  <si>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</si>
  <si>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</si>
  <si>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</si>
  <si>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</si>
  <si>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</si>
  <si>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</si>
  <si>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</si>
  <si>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</si>
  <si>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</si>
  <si>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</si>
  <si>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</si>
  <si>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</si>
  <si>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</si>
  <si>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</si>
  <si>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</si>
  <si>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</si>
  <si>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</si>
  <si>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</si>
  <si>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</si>
  <si>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</si>
  <si>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</si>
  <si>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</si>
  <si>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</si>
  <si>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</si>
  <si>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</si>
  <si>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</si>
  <si>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</si>
  <si>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</si>
  <si>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</si>
  <si>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</si>
  <si>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</si>
  <si>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</si>
  <si>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</si>
  <si>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</si>
  <si>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</si>
  <si>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</si>
  <si>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</si>
  <si>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</si>
  <si>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</si>
  <si>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</si>
  <si>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</si>
  <si>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</si>
  <si>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</si>
  <si>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</si>
  <si>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</si>
  <si>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</si>
  <si>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</si>
  <si>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</si>
  <si>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</si>
  <si>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</si>
  <si>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</si>
  <si>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</si>
  <si>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</si>
  <si>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</si>
  <si>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</si>
  <si>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</si>
  <si>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</si>
  <si>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</si>
  <si>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</si>
  <si>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</si>
  <si>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</si>
  <si>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</si>
  <si>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</si>
  <si>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</si>
  <si>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</si>
  <si>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</si>
  <si>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</si>
  <si>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</si>
  <si>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</si>
  <si>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</si>
  <si>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</si>
  <si>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</si>
  <si>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</si>
  <si>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</si>
  <si>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</si>
  <si>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</si>
  <si>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</si>
  <si>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</si>
  <si>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</si>
  <si>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</si>
  <si>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</si>
  <si>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</si>
  <si>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</si>
  <si>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</si>
  <si>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</si>
  <si>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</si>
  <si>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</si>
  <si>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</si>
  <si>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</si>
  <si>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</si>
  <si>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</si>
  <si>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</si>
  <si>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</si>
  <si>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</si>
  <si>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</si>
  <si>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</si>
  <si>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</si>
  <si>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</si>
  <si>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</si>
  <si>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</si>
  <si>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</si>
  <si>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</si>
  <si>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</si>
  <si>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</si>
  <si>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</si>
  <si>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</si>
  <si>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</si>
  <si>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</si>
  <si>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</si>
  <si>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</si>
  <si>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</si>
  <si>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</si>
  <si>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</si>
  <si>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</si>
  <si>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</si>
  <si>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</si>
  <si>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</si>
  <si>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</si>
  <si>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</si>
  <si>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</si>
  <si>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</si>
  <si>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</si>
  <si>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</si>
  <si>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</si>
  <si>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</si>
  <si>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</si>
  <si>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</si>
  <si>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</si>
  <si>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</si>
  <si>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</si>
  <si>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</si>
  <si>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</si>
  <si>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</si>
  <si>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</si>
  <si>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</si>
  <si>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</si>
  <si>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</si>
  <si>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</si>
  <si>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</si>
  <si>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</si>
  <si>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</si>
  <si>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</si>
  <si>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</si>
  <si>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</si>
  <si>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</si>
  <si>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</si>
  <si>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</si>
  <si>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</si>
  <si>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</si>
  <si>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</si>
  <si>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</si>
  <si>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</si>
  <si>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</si>
  <si>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</si>
  <si>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</si>
  <si>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</si>
  <si>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</si>
  <si>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</si>
  <si>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</si>
  <si>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</si>
  <si>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</si>
  <si>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</si>
  <si>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</si>
  <si>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</si>
  <si>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</si>
  <si>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</si>
  <si>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</si>
  <si>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</si>
  <si>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</si>
  <si>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</si>
  <si>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</si>
  <si>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</si>
  <si>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</si>
  <si>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</si>
  <si>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</si>
  <si>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</si>
  <si>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</si>
  <si>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</si>
  <si>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</si>
  <si>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</si>
  <si>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</si>
  <si>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</si>
  <si>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</si>
  <si>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</si>
  <si>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</si>
  <si>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</si>
  <si>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</si>
  <si>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</si>
  <si>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</si>
  <si>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</si>
  <si>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</si>
  <si>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</si>
  <si>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</si>
  <si>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</si>
  <si>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</si>
  <si>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</si>
  <si>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</si>
  <si>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</si>
  <si>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</si>
  <si>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</si>
  <si>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</si>
  <si>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</si>
  <si>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</si>
  <si>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</si>
  <si>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</si>
  <si>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</si>
  <si>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</si>
  <si>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</si>
  <si>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</si>
  <si>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</si>
  <si>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</si>
  <si>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</si>
  <si>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</si>
  <si>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</si>
  <si>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</si>
  <si>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</si>
  <si>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</si>
  <si>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</si>
  <si>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</si>
  <si>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</si>
  <si>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</si>
  <si>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</si>
  <si>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</si>
  <si>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</si>
  <si>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</si>
  <si>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</si>
  <si>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</si>
  <si>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</si>
  <si>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</si>
  <si>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</si>
  <si>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</si>
  <si>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</si>
  <si>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</si>
  <si>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</si>
  <si>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</si>
  <si>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</si>
  <si>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</si>
  <si>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</si>
  <si>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</si>
  <si>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</si>
  <si>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</si>
  <si>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</si>
  <si>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</si>
  <si>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</si>
  <si>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</si>
  <si>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</si>
  <si>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</si>
  <si>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</si>
  <si>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</si>
  <si>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</si>
  <si>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</si>
  <si>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</si>
  <si>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</si>
  <si>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</si>
  <si>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</si>
  <si>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</si>
  <si>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</si>
  <si>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</si>
  <si>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</si>
  <si>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</si>
  <si>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</si>
  <si>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</si>
  <si>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</si>
  <si>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</si>
  <si>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</si>
  <si>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</si>
  <si>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</si>
  <si>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</si>
  <si>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</si>
  <si>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</si>
  <si>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</si>
  <si>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</si>
  <si>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</si>
  <si>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</si>
  <si>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</si>
  <si>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</si>
  <si>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</si>
  <si>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</si>
  <si>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</si>
  <si>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</si>
  <si>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</si>
  <si>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</si>
  <si>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</si>
  <si>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</si>
  <si>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</si>
  <si>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</si>
  <si>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</si>
  <si>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</si>
  <si>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</si>
  <si>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</si>
  <si>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</si>
  <si>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</si>
  <si>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</si>
  <si>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</si>
  <si>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</si>
  <si>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</si>
  <si>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</si>
  <si>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</si>
  <si>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</si>
  <si>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</si>
  <si>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</si>
  <si>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</si>
  <si>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</si>
  <si>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</si>
  <si>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</si>
  <si>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</si>
  <si>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</si>
  <si>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</si>
  <si>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</si>
  <si>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</si>
  <si>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</si>
  <si>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</si>
  <si>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</si>
  <si>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</si>
  <si>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</si>
  <si>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</si>
  <si>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</si>
  <si>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</si>
  <si>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</si>
  <si>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</si>
  <si>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</si>
  <si>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</si>
  <si>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</si>
  <si>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</si>
  <si>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</si>
  <si>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</si>
  <si>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</si>
  <si>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</si>
  <si>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</si>
  <si>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</si>
  <si>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</si>
  <si>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</si>
  <si>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</si>
  <si>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</si>
  <si>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</si>
  <si>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</si>
  <si>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</si>
  <si>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</si>
  <si>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</si>
  <si>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</si>
  <si>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</si>
  <si>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</si>
  <si>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</si>
  <si>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</si>
  <si>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</si>
  <si>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</si>
  <si>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</si>
  <si>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</si>
  <si>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</si>
  <si>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</si>
  <si>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</si>
  <si>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</si>
  <si>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</si>
  <si>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</si>
  <si>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</si>
  <si>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</si>
  <si>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</si>
  <si>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</si>
  <si>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</si>
  <si>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</si>
  <si>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</si>
  <si>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</si>
  <si>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</si>
  <si>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</si>
  <si>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</si>
  <si>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</si>
  <si>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</si>
  <si>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</si>
  <si>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</si>
  <si>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</si>
  <si>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</si>
  <si>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</si>
  <si>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</si>
  <si>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</si>
  <si>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</si>
  <si>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</si>
  <si>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</si>
  <si>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</si>
  <si>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</si>
  <si>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</si>
  <si>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</si>
  <si>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</si>
  <si>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</si>
  <si>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</si>
  <si>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</si>
  <si>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</si>
  <si>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</si>
  <si>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</si>
  <si>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</si>
  <si>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</si>
  <si>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</si>
  <si>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</si>
  <si>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</si>
  <si>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</si>
  <si>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</si>
  <si>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</si>
  <si>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</si>
  <si>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</si>
  <si>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</si>
  <si>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</si>
  <si>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</si>
  <si>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</si>
  <si>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</si>
  <si>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</si>
  <si>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</si>
  <si>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</si>
  <si>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</si>
  <si>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</si>
  <si>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</si>
  <si>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</si>
  <si>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</si>
  <si>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</si>
  <si>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</si>
  <si>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</si>
  <si>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</si>
  <si>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</si>
  <si>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</si>
  <si>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</si>
  <si>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</si>
  <si>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</si>
  <si>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</si>
  <si>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</si>
  <si>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</si>
  <si>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</si>
  <si>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</si>
  <si>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</si>
  <si>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</si>
  <si>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</si>
  <si>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</si>
  <si>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</si>
  <si>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</si>
  <si>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</si>
  <si>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</si>
  <si>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</si>
  <si>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</si>
  <si>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</si>
  <si>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</si>
  <si>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</si>
  <si>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</si>
  <si>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</si>
  <si>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</si>
  <si>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</si>
  <si>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</si>
  <si>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</si>
  <si>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</si>
  <si>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</si>
  <si>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</si>
  <si>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</si>
  <si>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</si>
  <si>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</si>
  <si>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</si>
  <si>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</si>
  <si>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</si>
  <si>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</si>
  <si>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</si>
  <si>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</si>
  <si>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</si>
  <si>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</si>
  <si>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</si>
  <si>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</si>
  <si>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</si>
  <si>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</si>
  <si>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</si>
  <si>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</si>
  <si>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</si>
  <si>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</si>
  <si>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</si>
  <si>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</si>
  <si>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</si>
  <si>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</si>
  <si>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</si>
  <si>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</si>
  <si>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</si>
  <si>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</si>
  <si>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</si>
  <si>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</si>
  <si>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</si>
  <si>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</si>
  <si>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</si>
  <si>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</si>
  <si>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</si>
  <si>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</si>
  <si>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</si>
  <si>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</si>
  <si>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</si>
  <si>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</si>
  <si>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</si>
  <si>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</si>
  <si>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</si>
  <si>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</si>
  <si>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</si>
  <si>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</si>
  <si>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</si>
  <si>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</si>
  <si>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</si>
  <si>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</si>
  <si>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</si>
  <si>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</si>
  <si>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</si>
  <si>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</si>
  <si>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</si>
  <si>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</si>
  <si>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</si>
  <si>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</si>
  <si>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</si>
  <si>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</si>
  <si>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</si>
  <si>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</si>
  <si>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</si>
  <si>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</si>
  <si>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</si>
  <si>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</si>
  <si>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</si>
  <si>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</si>
  <si>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</si>
  <si>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</si>
  <si>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</si>
  <si>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</si>
  <si>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</si>
  <si>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</si>
  <si>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</si>
  <si>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</si>
  <si>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</si>
  <si>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</si>
  <si>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</si>
  <si>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</si>
  <si>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</si>
  <si>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</si>
  <si>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</si>
  <si>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</si>
  <si>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</si>
  <si>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</si>
  <si>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</si>
  <si>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</si>
  <si>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</si>
  <si>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</si>
  <si>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</si>
  <si>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</si>
  <si>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</si>
  <si>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</si>
  <si>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</si>
  <si>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</si>
  <si>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</si>
  <si>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</si>
  <si>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</si>
  <si>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</si>
  <si>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</si>
  <si>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</si>
  <si>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</si>
  <si>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</si>
  <si>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</si>
  <si>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</si>
  <si>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</si>
  <si>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</si>
  <si>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</si>
  <si>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</si>
  <si>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</si>
  <si>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</si>
  <si>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</si>
  <si>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</si>
  <si>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</si>
  <si>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</si>
  <si>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</si>
  <si>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</si>
  <si>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</si>
  <si>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</si>
  <si>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</si>
  <si>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</si>
  <si>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</si>
  <si>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</si>
  <si>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</si>
  <si>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</si>
  <si>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</si>
  <si>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</si>
  <si>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</si>
  <si>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</si>
  <si>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</si>
  <si>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</si>
  <si>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</si>
  <si>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</si>
  <si>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</si>
  <si>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</si>
  <si>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</si>
  <si>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</si>
  <si>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</si>
  <si>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</si>
  <si>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</si>
  <si>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</si>
  <si>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</si>
  <si>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</si>
  <si>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</si>
  <si>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</si>
  <si>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</si>
  <si>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</si>
  <si>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</si>
  <si>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</si>
  <si>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</si>
  <si>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</si>
  <si>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</si>
  <si>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</si>
  <si>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</si>
  <si>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</si>
  <si>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</si>
  <si>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</si>
  <si>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</si>
  <si>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</si>
  <si>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</si>
  <si>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</si>
  <si>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</si>
  <si>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</si>
  <si>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</si>
  <si>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</si>
  <si>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</si>
  <si>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</si>
  <si>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</si>
  <si>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</si>
  <si>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</si>
  <si>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</si>
  <si>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</si>
  <si>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</si>
  <si>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</si>
  <si>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</si>
  <si>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</si>
  <si>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</si>
  <si>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</si>
  <si>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</si>
  <si>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</si>
  <si>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</si>
  <si>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</si>
  <si>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</si>
  <si>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</si>
  <si>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</si>
  <si>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</si>
  <si>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</si>
  <si>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</si>
  <si>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</si>
  <si>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</si>
  <si>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</si>
  <si>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</si>
  <si>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</si>
  <si>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</si>
  <si>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</si>
  <si>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</si>
  <si>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</si>
  <si>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</si>
  <si>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</si>
  <si>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</si>
  <si>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</si>
  <si>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</si>
  <si>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</si>
  <si>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</si>
  <si>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</si>
  <si>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</si>
  <si>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</si>
  <si>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</si>
  <si>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</si>
  <si>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</si>
  <si>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</si>
  <si>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</si>
  <si>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</si>
  <si>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</si>
  <si>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</si>
  <si>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</si>
  <si>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</si>
  <si>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</si>
  <si>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</si>
  <si>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</si>
  <si>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</si>
  <si>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</si>
  <si>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</si>
  <si>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</si>
  <si>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</si>
  <si>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</si>
  <si>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</si>
  <si>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</si>
  <si>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</si>
  <si>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</si>
  <si>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</si>
  <si>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</si>
  <si>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</si>
  <si>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</si>
  <si>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</si>
  <si>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</si>
  <si>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</si>
  <si>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</si>
  <si>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</si>
  <si>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</si>
  <si>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</si>
  <si>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</si>
  <si>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</si>
  <si>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</si>
  <si>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</si>
  <si>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</si>
  <si>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</si>
  <si>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</si>
  <si>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</si>
  <si>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</si>
  <si>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</si>
  <si>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</si>
  <si>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</si>
  <si>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</si>
  <si>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</si>
  <si>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</si>
  <si>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</si>
  <si>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</si>
  <si>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</si>
  <si>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</si>
  <si>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</si>
  <si>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</si>
  <si>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</si>
  <si>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</si>
  <si>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</si>
  <si>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</si>
  <si>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</si>
  <si>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</si>
  <si>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</si>
  <si>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</si>
  <si>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</si>
  <si>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</si>
  <si>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</si>
  <si>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</si>
  <si>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</si>
  <si>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</si>
  <si>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</si>
  <si>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</si>
  <si>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</si>
  <si>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</si>
  <si>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</si>
  <si>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</si>
  <si>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</si>
  <si>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</si>
  <si>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</si>
  <si>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</si>
  <si>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</si>
  <si>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</si>
  <si>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</si>
  <si>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</si>
  <si>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</si>
  <si>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</si>
  <si>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</si>
  <si>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</si>
  <si>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</si>
  <si>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</si>
  <si>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</si>
  <si>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</si>
  <si>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</si>
  <si>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</si>
  <si>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</si>
  <si>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</si>
  <si>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</si>
  <si>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</si>
  <si>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</si>
  <si>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</si>
  <si>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</si>
  <si>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</si>
  <si>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</si>
  <si>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</si>
  <si>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</si>
  <si>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</si>
  <si>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</si>
  <si>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</si>
  <si>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</si>
  <si>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</si>
  <si>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</si>
  <si>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</si>
  <si>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</si>
  <si>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</si>
  <si>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</si>
  <si>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</si>
  <si>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</si>
  <si>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</si>
  <si>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</si>
  <si>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</si>
  <si>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</si>
  <si>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</si>
  <si>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</si>
  <si>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</si>
  <si>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</si>
  <si>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</si>
  <si>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</si>
  <si>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</si>
  <si>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</si>
  <si>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</si>
  <si>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</si>
  <si>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</si>
  <si>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</si>
  <si>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</si>
  <si>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</si>
  <si>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</si>
  <si>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</si>
  <si>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</si>
  <si>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</si>
  <si>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</si>
  <si>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</si>
  <si>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</si>
  <si>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</si>
  <si>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</si>
  <si>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</si>
  <si>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</si>
  <si>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</si>
  <si>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</si>
  <si>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</si>
  <si>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</si>
  <si>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</si>
  <si>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</si>
  <si>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</si>
  <si>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</si>
  <si>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</si>
  <si>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</si>
  <si>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</si>
  <si>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</si>
  <si>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</si>
  <si>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</si>
  <si>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</si>
  <si>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</si>
  <si>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</si>
  <si>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</si>
  <si>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</si>
  <si>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</si>
  <si>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</si>
  <si>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</si>
  <si>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</si>
  <si>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</si>
  <si>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</si>
  <si>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</si>
  <si>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</si>
  <si>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</si>
  <si>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</si>
  <si>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</si>
  <si>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</si>
  <si>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</si>
  <si>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</si>
  <si>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</si>
  <si>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</si>
  <si>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</si>
  <si>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</si>
  <si>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</si>
  <si>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</si>
  <si>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</si>
  <si>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</si>
  <si>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</si>
  <si>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</si>
  <si>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</si>
  <si>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</si>
  <si>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</si>
  <si>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</si>
  <si>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</si>
  <si>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</si>
  <si>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</si>
  <si>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</si>
  <si>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</si>
  <si>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</si>
  <si>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</si>
  <si>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</si>
  <si>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</si>
  <si>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</si>
  <si>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</si>
  <si>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</si>
  <si>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</si>
  <si>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</si>
  <si>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</si>
  <si>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</si>
  <si>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</si>
  <si>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</si>
  <si>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</si>
  <si>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</si>
  <si>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</si>
  <si>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</si>
  <si>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</si>
  <si>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</si>
  <si>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</si>
  <si>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</si>
  <si>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</si>
  <si>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</si>
  <si>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</si>
  <si>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</si>
  <si>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</si>
  <si>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</si>
  <si>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</si>
  <si>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</si>
  <si>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</si>
  <si>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</si>
  <si>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</si>
  <si>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</si>
  <si>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</si>
  <si>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</si>
  <si>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</si>
  <si>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</si>
  <si>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</si>
  <si>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</si>
  <si>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</si>
  <si>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</si>
  <si>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</si>
  <si>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</si>
  <si>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</si>
  <si>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</si>
  <si>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</si>
  <si>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</si>
  <si>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</si>
  <si>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</si>
  <si>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</si>
  <si>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</si>
  <si>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</si>
  <si>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</si>
  <si>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</si>
  <si>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</si>
  <si>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</si>
  <si>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</si>
  <si>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</si>
  <si>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</si>
  <si>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</si>
  <si>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</si>
  <si>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</si>
  <si>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</si>
  <si>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</si>
  <si>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</si>
  <si>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</si>
  <si>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</si>
  <si>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</si>
  <si>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</si>
  <si>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</si>
  <si>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</si>
  <si>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</si>
  <si>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</si>
  <si>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</si>
  <si>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</si>
  <si>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</si>
  <si>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</si>
  <si>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</si>
  <si>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</si>
  <si>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</si>
  <si>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</si>
  <si>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</si>
  <si>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</si>
  <si>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</si>
  <si>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</si>
  <si>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</si>
  <si>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</si>
  <si>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</si>
  <si>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</si>
  <si>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</si>
  <si>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</si>
  <si>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</si>
  <si>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</si>
  <si>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</si>
  <si>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</si>
  <si>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</si>
  <si>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</si>
  <si>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</si>
  <si>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</si>
  <si>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</si>
  <si>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</si>
  <si>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</si>
  <si>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</si>
  <si>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</si>
  <si>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</si>
  <si>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</si>
  <si>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</si>
  <si>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</si>
  <si>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</si>
  <si>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</si>
  <si>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</si>
  <si>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</si>
  <si>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</si>
  <si>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</si>
  <si>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</si>
  <si>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</si>
  <si>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</si>
  <si>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</si>
  <si>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</si>
  <si>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</si>
  <si>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</si>
  <si>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</si>
  <si>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</si>
  <si>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</si>
  <si>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</si>
  <si>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</si>
  <si>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</si>
  <si>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</si>
  <si>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</si>
  <si>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</si>
  <si>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</si>
  <si>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</si>
  <si>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</si>
  <si>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</si>
  <si>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</si>
  <si>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</si>
  <si>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</si>
  <si>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</si>
  <si>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</si>
  <si>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</si>
  <si>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</si>
  <si>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</si>
  <si>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</si>
  <si>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</si>
  <si>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</si>
  <si>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</si>
  <si>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</si>
  <si>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</si>
  <si>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</si>
  <si>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</si>
  <si>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</si>
  <si>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</si>
  <si>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</si>
  <si>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</si>
  <si>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</si>
  <si>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</si>
  <si>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</si>
  <si>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</si>
  <si>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</si>
  <si>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</si>
  <si>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</si>
  <si>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</si>
  <si>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</si>
  <si>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</si>
  <si>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</si>
  <si>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</si>
  <si>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</si>
  <si>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</si>
  <si>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</si>
  <si>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</si>
  <si>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</si>
  <si>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</si>
  <si>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</si>
  <si>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</si>
  <si>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</si>
  <si>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</si>
  <si>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</si>
  <si>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</si>
  <si>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</si>
  <si>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</si>
  <si>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</si>
  <si>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</si>
  <si>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</si>
  <si>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</si>
  <si>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</si>
  <si>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</si>
  <si>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</si>
  <si>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</si>
  <si>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</si>
  <si>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</si>
  <si>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</si>
  <si>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</si>
  <si>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</si>
  <si>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</si>
  <si>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</si>
  <si>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</si>
  <si>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</si>
  <si>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</si>
  <si>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</si>
  <si>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</si>
  <si>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</si>
  <si>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</si>
  <si>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</si>
  <si>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</si>
  <si>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</si>
  <si>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</si>
  <si>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</si>
  <si>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</si>
  <si>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</si>
  <si>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</si>
  <si>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</si>
  <si>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</si>
  <si>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</si>
  <si>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</si>
  <si>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</si>
  <si>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</si>
  <si>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</si>
  <si>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</si>
  <si>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</si>
  <si>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</si>
  <si>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</si>
  <si>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</si>
  <si>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</si>
  <si>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</si>
  <si>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</si>
  <si>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</si>
  <si>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</si>
  <si>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</si>
  <si>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</si>
  <si>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</si>
  <si>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</si>
  <si>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</si>
  <si>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</si>
  <si>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</si>
  <si>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</si>
  <si>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</si>
  <si>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</si>
  <si>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</si>
  <si>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</si>
  <si>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</si>
  <si>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</si>
  <si>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</si>
  <si>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</si>
  <si>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</si>
  <si>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</si>
  <si>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</si>
  <si>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</si>
  <si>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</si>
  <si>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</si>
  <si>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</si>
  <si>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</si>
  <si>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</si>
  <si>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</si>
  <si>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</si>
  <si>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</si>
  <si>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</si>
  <si>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</si>
  <si>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</si>
  <si>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</si>
  <si>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</si>
  <si>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</si>
  <si>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</si>
  <si>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</si>
  <si>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</si>
  <si>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</si>
  <si>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</si>
  <si>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</si>
  <si>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</si>
  <si>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</si>
  <si>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</si>
  <si>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</si>
  <si>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</si>
  <si>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</si>
  <si>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</si>
  <si>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</si>
  <si>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</si>
  <si>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</si>
  <si>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</si>
  <si>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</si>
  <si>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</si>
  <si>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</si>
  <si>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</si>
  <si>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</si>
  <si>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</si>
  <si>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</si>
  <si>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</si>
  <si>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</si>
  <si>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</si>
  <si>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</si>
  <si>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</si>
  <si>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</si>
  <si>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</si>
  <si>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</si>
  <si>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</si>
  <si>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</si>
  <si>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</si>
  <si>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</si>
  <si>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</si>
  <si>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</si>
  <si>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</si>
  <si>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</si>
  <si>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</si>
  <si>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</si>
  <si>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</si>
  <si>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</si>
  <si>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</si>
  <si>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</si>
  <si>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</si>
  <si>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</si>
  <si>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</si>
  <si>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</si>
  <si>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</si>
  <si>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</si>
  <si>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</si>
  <si>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</si>
  <si>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</si>
  <si>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</si>
  <si>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</si>
  <si>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</si>
  <si>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</si>
  <si>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</si>
  <si>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</si>
  <si>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</si>
  <si>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</si>
  <si>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</si>
  <si>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</si>
  <si>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</si>
  <si>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</si>
  <si>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</si>
  <si>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</si>
  <si>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</si>
  <si>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</si>
  <si>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</si>
  <si>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</si>
  <si>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</si>
  <si>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</si>
  <si>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</si>
  <si>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</si>
  <si>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</si>
  <si>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</si>
  <si>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</si>
  <si>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</si>
  <si>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</si>
  <si>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</si>
  <si>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</si>
  <si>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</si>
  <si>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</si>
  <si>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</si>
  <si>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</si>
  <si>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</si>
  <si>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</si>
  <si>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</si>
  <si>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</si>
  <si>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</si>
  <si>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</si>
  <si>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</si>
  <si>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</si>
  <si>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</si>
  <si>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</si>
  <si>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</si>
  <si>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</si>
  <si>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</si>
  <si>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</si>
  <si>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</si>
  <si>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</si>
  <si>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</si>
  <si>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</si>
  <si>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</si>
  <si>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</si>
  <si>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</si>
  <si>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</si>
  <si>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</si>
  <si>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</si>
  <si>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</si>
  <si>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</si>
  <si>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</si>
  <si>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</si>
  <si>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</si>
  <si>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</si>
  <si>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</si>
  <si>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</si>
  <si>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</si>
  <si>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</si>
  <si>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</si>
  <si>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</si>
  <si>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</si>
  <si>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</si>
  <si>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</si>
  <si>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</si>
  <si>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</si>
  <si>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</si>
  <si>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</si>
  <si>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</si>
  <si>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</si>
  <si>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</si>
  <si>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</si>
  <si>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</si>
  <si>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</si>
  <si>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</si>
  <si>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</si>
  <si>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</si>
  <si>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</si>
  <si>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</si>
  <si>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</si>
  <si>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</si>
  <si>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</si>
  <si>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</si>
  <si>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</si>
  <si>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</si>
  <si>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</si>
  <si>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</si>
  <si>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</si>
  <si>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</si>
  <si>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</si>
  <si>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</si>
  <si>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</si>
  <si>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</si>
  <si>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</si>
  <si>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</si>
  <si>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</si>
  <si>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</si>
  <si>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</si>
  <si>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</si>
  <si>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</si>
  <si>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</si>
  <si>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</si>
  <si>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</si>
  <si>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</si>
  <si>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</si>
  <si>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</si>
  <si>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</si>
  <si>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</si>
  <si>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</si>
  <si>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</si>
  <si>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</si>
  <si>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</si>
  <si>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</si>
  <si>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</si>
  <si>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</si>
  <si>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</si>
  <si>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</si>
  <si>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</si>
  <si>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</si>
  <si>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</si>
  <si>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</si>
  <si>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</si>
  <si>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</si>
  <si>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</si>
  <si>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</si>
  <si>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</si>
  <si>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</si>
  <si>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</si>
  <si>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</si>
  <si>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</si>
  <si>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</si>
  <si>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</si>
  <si>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</si>
  <si>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</si>
  <si>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</si>
  <si>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</si>
  <si>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</si>
  <si>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</si>
  <si>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</si>
  <si>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</si>
  <si>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</si>
  <si>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</si>
  <si>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</si>
  <si>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</si>
  <si>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</si>
  <si>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</si>
  <si>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</si>
  <si>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</si>
  <si>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</si>
  <si>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</si>
  <si>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</si>
  <si>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</si>
  <si>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</si>
  <si>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</si>
  <si>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</si>
  <si>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</si>
  <si>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</si>
  <si>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</si>
  <si>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</si>
  <si>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</si>
  <si>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</si>
  <si>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</si>
  <si>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</si>
  <si>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</si>
  <si>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</si>
  <si>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</si>
  <si>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</si>
  <si>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</si>
  <si>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</si>
  <si>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</si>
  <si>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</si>
  <si>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</si>
  <si>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</si>
  <si>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</si>
  <si>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</si>
  <si>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</si>
  <si>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</si>
  <si>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</si>
  <si>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</si>
  <si>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</si>
  <si>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</si>
  <si>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</si>
  <si>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</si>
  <si>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</si>
  <si>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</si>
  <si>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</si>
  <si>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</si>
  <si>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</si>
  <si>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</si>
  <si>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</si>
  <si>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</si>
  <si>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</si>
  <si>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</si>
  <si>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</si>
  <si>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</si>
  <si>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</si>
  <si>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</si>
  <si>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</si>
  <si>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</si>
  <si>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</si>
  <si>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</si>
  <si>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</si>
  <si>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</si>
  <si>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</si>
  <si>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</si>
  <si>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</si>
  <si>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</si>
  <si>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</si>
  <si>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</si>
  <si>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</si>
  <si>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</si>
  <si>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</si>
  <si>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</si>
  <si>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</si>
  <si>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</si>
  <si>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</si>
  <si>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</si>
  <si>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</si>
  <si>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</si>
  <si>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</si>
  <si>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</si>
  <si>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</si>
  <si>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</si>
  <si>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</si>
  <si>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</si>
  <si>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</si>
  <si>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</si>
  <si>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</si>
  <si>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</si>
  <si>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</si>
  <si>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</si>
  <si>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</si>
  <si>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</si>
  <si>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</si>
  <si>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</si>
  <si>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</si>
  <si>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</si>
  <si>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</si>
  <si>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</si>
  <si>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</si>
  <si>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</si>
  <si>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</si>
  <si>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</si>
  <si>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</si>
  <si>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</si>
  <si>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</si>
  <si>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</si>
  <si>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</si>
  <si>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</si>
  <si>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</si>
  <si>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</si>
  <si>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</si>
  <si>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</si>
  <si>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</si>
  <si>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</si>
  <si>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</si>
  <si>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</si>
  <si>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</si>
  <si>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</si>
  <si>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</si>
  <si>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</si>
  <si>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</si>
  <si>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</si>
  <si>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</si>
  <si>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</si>
  <si>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</si>
  <si>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</si>
  <si>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</si>
  <si>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</si>
  <si>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</si>
  <si>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</si>
  <si>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</si>
  <si>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</si>
  <si>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</si>
  <si>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</si>
  <si>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</si>
  <si>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</si>
  <si>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</si>
  <si>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</si>
  <si>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</si>
  <si>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</si>
  <si>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</si>
  <si>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</si>
  <si>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</si>
  <si>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</si>
  <si>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</si>
  <si>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</si>
  <si>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</si>
  <si>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</si>
  <si>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</si>
  <si>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</si>
  <si>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</si>
  <si>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</si>
  <si>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</si>
  <si>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</si>
  <si>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</si>
  <si>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</si>
  <si>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</si>
  <si>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</si>
  <si>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</si>
  <si>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</si>
  <si>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</si>
  <si>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</si>
  <si>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</si>
  <si>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</si>
  <si>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</si>
  <si>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</si>
  <si>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</si>
  <si>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</si>
  <si>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</si>
  <si>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</si>
  <si>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</si>
  <si>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</si>
  <si>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</si>
  <si>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</si>
  <si>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</si>
  <si>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</si>
  <si>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</si>
  <si>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</si>
  <si>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</si>
  <si>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</si>
  <si>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</si>
  <si>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</si>
  <si>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</si>
  <si>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</si>
  <si>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</si>
  <si>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</si>
  <si>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</si>
  <si>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</si>
  <si>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</si>
  <si>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</si>
  <si>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</si>
  <si>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</si>
  <si>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</si>
  <si>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</si>
  <si>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</si>
  <si>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</si>
  <si>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</si>
  <si>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</si>
  <si>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</si>
  <si>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</si>
  <si>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</si>
  <si>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</si>
  <si>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</si>
  <si>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</si>
  <si>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</si>
  <si>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</si>
  <si>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</si>
  <si>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</si>
  <si>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</si>
  <si>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</si>
  <si>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</si>
  <si>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</si>
  <si>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</si>
  <si>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</si>
  <si>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</si>
  <si>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</si>
  <si>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</si>
  <si>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</si>
  <si>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</si>
  <si>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</si>
  <si>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</si>
  <si>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</si>
  <si>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</si>
  <si>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</si>
  <si>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</si>
  <si>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</si>
  <si>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</si>
  <si>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</si>
  <si>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</si>
  <si>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</si>
  <si>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</si>
  <si>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</si>
  <si>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</si>
  <si>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</si>
  <si>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</si>
  <si>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</si>
  <si>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</si>
  <si>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</si>
  <si>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</si>
  <si>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</si>
  <si>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</si>
  <si>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</si>
  <si>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</si>
  <si>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</si>
  <si>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</si>
  <si>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</si>
  <si>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</si>
  <si>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</si>
  <si>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</si>
  <si>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</si>
  <si>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</si>
  <si>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</si>
  <si>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</si>
  <si>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</si>
  <si>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</si>
  <si>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</si>
  <si>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</si>
  <si>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</si>
  <si>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</si>
  <si>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</si>
  <si>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</si>
  <si>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</si>
  <si>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</si>
  <si>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</si>
  <si>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</si>
  <si>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</si>
  <si>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</si>
  <si>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</si>
  <si>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</si>
  <si>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</si>
  <si>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</si>
  <si>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</si>
  <si>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</si>
  <si>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</si>
  <si>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</si>
  <si>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</si>
  <si>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</si>
  <si>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</si>
  <si>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</si>
  <si>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</si>
  <si>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</si>
  <si>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</si>
  <si>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</si>
  <si>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</si>
  <si>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</si>
  <si>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</si>
  <si>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</si>
  <si>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</si>
  <si>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</si>
  <si>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</si>
  <si>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</si>
  <si>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</si>
  <si>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</si>
  <si>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</si>
  <si>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</si>
  <si>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</si>
  <si>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</si>
  <si>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</si>
  <si>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</si>
  <si>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</si>
  <si>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</si>
  <si>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</si>
  <si>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</si>
  <si>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</si>
  <si>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</si>
  <si>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</si>
  <si>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</si>
  <si>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</si>
  <si>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</si>
  <si>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</si>
  <si>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</si>
  <si>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</si>
  <si>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</si>
  <si>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</si>
  <si>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</si>
  <si>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</si>
  <si>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</si>
  <si>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</si>
  <si>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</si>
  <si>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</si>
  <si>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</si>
  <si>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</si>
  <si>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</si>
  <si>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</si>
  <si>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</si>
  <si>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</si>
  <si>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</si>
  <si>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</si>
  <si>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</si>
  <si>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</si>
  <si>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</si>
  <si>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</si>
  <si>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</si>
  <si>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</si>
  <si>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</si>
  <si>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</si>
  <si>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</si>
  <si>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</si>
  <si>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</si>
  <si>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</si>
  <si>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</si>
  <si>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</si>
  <si>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</si>
  <si>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</si>
  <si>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</si>
  <si>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</si>
  <si>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</si>
  <si>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</si>
  <si>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</si>
  <si>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</si>
  <si>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</si>
  <si>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</si>
  <si>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</si>
  <si>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</si>
  <si>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</si>
  <si>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</si>
  <si>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</si>
  <si>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</si>
  <si>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</si>
  <si>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</si>
  <si>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</si>
  <si>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</si>
  <si>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</si>
  <si>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</si>
  <si>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</si>
  <si>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</si>
  <si>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</si>
  <si>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</si>
  <si>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</si>
  <si>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</si>
  <si>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</si>
  <si>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</si>
  <si>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</si>
  <si>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</si>
  <si>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</si>
  <si>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</si>
  <si>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</si>
  <si>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</si>
  <si>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</si>
  <si>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</si>
  <si>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</si>
  <si>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</si>
  <si>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</si>
  <si>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</si>
  <si>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</si>
  <si>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</si>
  <si>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</si>
  <si>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</si>
  <si>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</si>
  <si>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</si>
  <si>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</si>
  <si>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</si>
  <si>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</si>
  <si>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</si>
  <si>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</si>
  <si>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</si>
  <si>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</si>
  <si>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</si>
  <si>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</si>
  <si>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</si>
  <si>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</si>
  <si>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</si>
  <si>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</si>
  <si>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</si>
  <si>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</si>
  <si>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</si>
  <si>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</si>
  <si>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</si>
  <si>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</si>
  <si>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</si>
  <si>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</si>
  <si>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</si>
  <si>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</si>
  <si>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</si>
  <si>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</si>
  <si>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</si>
  <si>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</si>
  <si>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</si>
  <si>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</si>
  <si>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</si>
  <si>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</si>
  <si>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</si>
  <si>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</si>
  <si>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</si>
  <si>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</si>
  <si>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</si>
  <si>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</si>
  <si>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</si>
  <si>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</si>
  <si>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</si>
  <si>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</si>
  <si>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</si>
  <si>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</si>
  <si>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</si>
  <si>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</si>
  <si>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</si>
  <si>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</si>
  <si>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</si>
  <si>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</si>
  <si>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</si>
  <si>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</si>
  <si>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</si>
  <si>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</si>
  <si>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</si>
  <si>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</si>
  <si>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</si>
  <si>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</si>
  <si>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</si>
  <si>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</si>
  <si>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</si>
  <si>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</si>
  <si>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</si>
  <si>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</si>
  <si>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</si>
  <si>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</si>
  <si>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</si>
  <si>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</si>
  <si>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</si>
  <si>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</si>
  <si>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</si>
  <si>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</si>
  <si>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</si>
  <si>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</si>
  <si>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</si>
  <si>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</si>
  <si>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</si>
  <si>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</si>
  <si>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</si>
  <si>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</si>
  <si>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</si>
  <si>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</si>
  <si>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</si>
  <si>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</si>
  <si>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</si>
  <si>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</si>
  <si>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</si>
  <si>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</si>
  <si>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</si>
  <si>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</si>
  <si>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</si>
  <si>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</si>
  <si>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</si>
  <si>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</si>
  <si>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</si>
  <si>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</si>
  <si>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</si>
  <si>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</si>
  <si>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</si>
  <si>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</si>
  <si>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</si>
  <si>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</si>
  <si>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</si>
  <si>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</si>
  <si>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</si>
  <si>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</si>
  <si>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</si>
  <si>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</si>
  <si>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</si>
  <si>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</si>
  <si>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</si>
  <si>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</si>
  <si>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</si>
  <si>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</si>
  <si>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</si>
  <si>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</si>
  <si>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</si>
  <si>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</si>
  <si>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</si>
  <si>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</si>
  <si>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</si>
  <si>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</si>
  <si>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</si>
  <si>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</si>
  <si>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</si>
  <si>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</si>
  <si>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</si>
  <si>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</si>
  <si>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</si>
  <si>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</si>
  <si>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</si>
  <si>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</si>
  <si>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</si>
  <si>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</si>
  <si>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</si>
  <si>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</si>
  <si>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</si>
  <si>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</si>
  <si>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</si>
  <si>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</si>
  <si>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</si>
  <si>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</si>
  <si>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</si>
  <si>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</si>
  <si>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</si>
  <si>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</si>
  <si>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</si>
  <si>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</si>
  <si>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</si>
  <si>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</si>
  <si>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</si>
  <si>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</si>
  <si>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</si>
  <si>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</si>
  <si>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</si>
  <si>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</si>
  <si>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</si>
  <si>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</si>
  <si>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</si>
  <si>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</si>
  <si>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</si>
  <si>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</si>
  <si>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</si>
  <si>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</si>
  <si>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</si>
  <si>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</si>
  <si>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</si>
  <si>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</si>
  <si>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</si>
  <si>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</si>
  <si>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</si>
  <si>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</si>
  <si>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</si>
  <si>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</si>
  <si>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</si>
  <si>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</si>
  <si>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</si>
  <si>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</si>
  <si>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</si>
  <si>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</si>
  <si>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</si>
  <si>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</si>
  <si>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</si>
  <si>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</si>
  <si>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</si>
  <si>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</si>
  <si>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</si>
  <si>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</si>
  <si>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</si>
  <si>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</si>
  <si>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</si>
  <si>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</si>
  <si>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</si>
  <si>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</si>
  <si>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</si>
  <si>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</si>
  <si>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</si>
  <si>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</si>
  <si>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</si>
  <si>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</si>
  <si>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</si>
  <si>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</si>
  <si>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</si>
  <si>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</si>
  <si>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</si>
  <si>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</si>
  <si>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</si>
  <si>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</si>
  <si>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</si>
  <si>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</si>
  <si>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</si>
  <si>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</si>
  <si>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</si>
  <si>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</si>
  <si>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</si>
  <si>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</si>
  <si>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</si>
  <si>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</si>
  <si>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</si>
  <si>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</si>
  <si>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</si>
  <si>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</si>
  <si>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</si>
  <si>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</si>
  <si>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</si>
  <si>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</si>
  <si>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</si>
  <si>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</si>
  <si>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</si>
  <si>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</si>
  <si>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</si>
  <si>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</si>
  <si>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</si>
  <si>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</si>
  <si>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</si>
  <si>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</si>
  <si>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</si>
  <si>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</si>
  <si>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</si>
  <si>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</si>
  <si>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</si>
  <si>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</si>
  <si>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</si>
  <si>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</si>
  <si>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</si>
  <si>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</si>
  <si>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</si>
  <si>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</si>
  <si>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</si>
  <si>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</si>
  <si>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</si>
  <si>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</si>
  <si>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</si>
  <si>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</si>
  <si>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</si>
  <si>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</si>
  <si>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</si>
  <si>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</si>
  <si>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</si>
  <si>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</si>
  <si>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</si>
  <si>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</si>
  <si>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</si>
  <si>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</si>
  <si>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</si>
  <si>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</si>
  <si>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</si>
  <si>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</si>
  <si>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</si>
  <si>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</si>
  <si>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</si>
  <si>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</si>
  <si>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</si>
  <si>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</si>
  <si>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</si>
  <si>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</si>
  <si>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</si>
  <si>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</si>
  <si>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</si>
  <si>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</si>
  <si>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</si>
  <si>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</si>
  <si>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</si>
  <si>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</si>
  <si>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</si>
  <si>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</si>
  <si>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</si>
  <si>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</si>
  <si>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</si>
  <si>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</si>
  <si>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</si>
  <si>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</si>
  <si>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</si>
  <si>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</si>
  <si>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</si>
  <si>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</si>
  <si>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</si>
  <si>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</si>
  <si>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</si>
  <si>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</si>
  <si>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</si>
  <si>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</si>
  <si>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</si>
  <si>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</si>
  <si>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</si>
  <si>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</si>
  <si>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</si>
  <si>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</si>
  <si>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</si>
  <si>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</si>
  <si>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</si>
  <si>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</si>
  <si>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</si>
  <si>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</si>
  <si>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</si>
  <si>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</si>
  <si>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</si>
  <si>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</si>
  <si>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</si>
  <si>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</si>
  <si>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</si>
  <si>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</si>
  <si>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</si>
  <si>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</si>
  <si>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</si>
  <si>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</si>
  <si>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</si>
  <si>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</si>
  <si>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</si>
  <si>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</si>
  <si>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</si>
  <si>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</si>
  <si>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</si>
  <si>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</si>
  <si>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</si>
  <si>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</si>
  <si>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</si>
  <si>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</si>
  <si>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</si>
  <si>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</si>
  <si>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</si>
  <si>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</si>
  <si>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</si>
  <si>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</si>
  <si>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</si>
  <si>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</si>
  <si>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</si>
  <si>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</si>
  <si>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</si>
  <si>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</si>
  <si>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</si>
  <si>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</si>
  <si>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</si>
  <si>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</si>
  <si>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</si>
  <si>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</si>
  <si>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</si>
  <si>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</si>
  <si>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</si>
  <si>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</si>
  <si>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</si>
  <si>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</si>
  <si>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</si>
  <si>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</si>
  <si>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</si>
  <si>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</si>
  <si>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</si>
  <si>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</si>
  <si>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</si>
  <si>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</si>
  <si>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</si>
  <si>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</si>
  <si>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</si>
  <si>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</si>
  <si>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</si>
  <si>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</si>
  <si>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</si>
  <si>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</si>
  <si>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</si>
  <si>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</si>
  <si>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</si>
  <si>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</si>
  <si>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</si>
  <si>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</si>
  <si>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</si>
  <si>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</si>
  <si>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</si>
  <si>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</si>
  <si>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</si>
  <si>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</si>
  <si>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</si>
  <si>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</si>
  <si>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</si>
  <si>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</si>
  <si>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</si>
  <si>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</si>
  <si>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</si>
  <si>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</si>
  <si>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</si>
  <si>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</si>
  <si>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</si>
  <si>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</si>
  <si>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</si>
  <si>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</si>
  <si>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</si>
  <si>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</si>
  <si>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</si>
  <si>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</si>
  <si>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</si>
  <si>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</si>
  <si>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</si>
  <si>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</si>
  <si>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</si>
  <si>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</si>
  <si>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</si>
  <si>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</si>
  <si>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</si>
  <si>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</si>
  <si>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</si>
  <si>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</si>
  <si>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</si>
  <si>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</si>
  <si>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</si>
  <si>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</si>
  <si>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</si>
  <si>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</si>
  <si>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</si>
  <si>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</si>
  <si>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</si>
  <si>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</si>
  <si>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</si>
  <si>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</si>
  <si>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</si>
  <si>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</si>
  <si>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</si>
  <si>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</si>
  <si>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</si>
  <si>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</si>
  <si>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</si>
  <si>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</si>
  <si>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</si>
  <si>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</si>
  <si>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</si>
  <si>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</si>
  <si>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</si>
  <si>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</si>
  <si>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</si>
  <si>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</si>
  <si>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</si>
  <si>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</si>
  <si>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</si>
  <si>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</si>
  <si>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</si>
  <si>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</si>
  <si>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</si>
  <si>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</si>
  <si>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</si>
  <si>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</si>
  <si>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</si>
  <si>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</si>
  <si>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</si>
  <si>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</si>
  <si>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</si>
  <si>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</si>
  <si>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</si>
  <si>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</si>
  <si>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</si>
  <si>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</si>
  <si>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</si>
  <si>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</si>
  <si>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</si>
  <si>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</si>
  <si>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</si>
  <si>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</si>
  <si>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</si>
  <si>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</si>
  <si>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</si>
  <si>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</si>
  <si>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</si>
  <si>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</si>
  <si>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</si>
  <si>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</si>
  <si>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</si>
  <si>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</si>
  <si>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</si>
  <si>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</si>
  <si>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</si>
  <si>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</si>
  <si>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</si>
  <si>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</si>
  <si>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</si>
  <si>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</si>
  <si>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</si>
  <si>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</si>
  <si>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</si>
  <si>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</si>
  <si>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</si>
  <si>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</si>
  <si>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</si>
  <si>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</si>
  <si>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</si>
  <si>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</si>
  <si>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</si>
  <si>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</si>
  <si>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</si>
  <si>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</si>
  <si>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</si>
  <si>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</si>
  <si>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</si>
  <si>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</si>
  <si>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</si>
  <si>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</si>
  <si>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</si>
  <si>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</si>
  <si>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</si>
  <si>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</si>
  <si>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</si>
  <si>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</si>
  <si>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</si>
  <si>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</si>
  <si>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</si>
  <si>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</si>
  <si>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</si>
  <si>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</si>
  <si>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</si>
  <si>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</si>
  <si>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</si>
  <si>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</si>
  <si>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</si>
  <si>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</si>
  <si>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</si>
  <si>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</si>
  <si>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</si>
  <si>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</si>
  <si>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</si>
  <si>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</si>
  <si>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</si>
  <si>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</si>
  <si>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</si>
  <si>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</si>
  <si>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</si>
  <si>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</si>
  <si>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</si>
  <si>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</si>
  <si>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</si>
  <si>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</si>
  <si>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</si>
  <si>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</si>
  <si>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</si>
  <si>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</si>
  <si>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</si>
  <si>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</si>
  <si>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</si>
  <si>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</si>
  <si>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</si>
  <si>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</si>
  <si>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</si>
  <si>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</si>
  <si>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</si>
  <si>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</si>
  <si>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</si>
  <si>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</si>
  <si>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</si>
  <si>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</si>
  <si>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</si>
  <si>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</si>
  <si>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</si>
  <si>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</si>
  <si>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</si>
  <si>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</si>
  <si>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</si>
  <si>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</si>
  <si>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</si>
  <si>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</si>
  <si>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</si>
  <si>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</si>
  <si>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</si>
  <si>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</si>
  <si>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</si>
  <si>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</si>
  <si>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</si>
  <si>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</si>
  <si>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</si>
  <si>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</si>
  <si>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</si>
  <si>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</si>
  <si>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</si>
  <si>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</si>
  <si>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</si>
  <si>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</si>
  <si>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</si>
  <si>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</si>
  <si>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</si>
  <si>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</si>
  <si>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</si>
  <si>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</si>
  <si>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</si>
  <si>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</si>
  <si>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</si>
  <si>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</si>
  <si>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</si>
  <si>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</si>
  <si>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</si>
  <si>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</si>
  <si>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</si>
  <si>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</si>
  <si>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</si>
  <si>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</si>
  <si>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</si>
  <si>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</si>
  <si>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</si>
  <si>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</si>
  <si>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</si>
  <si>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</si>
  <si>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</si>
  <si>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</si>
  <si>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</si>
  <si>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</si>
  <si>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</si>
  <si>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</si>
  <si>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</si>
  <si>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</si>
  <si>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</si>
  <si>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</si>
  <si>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</si>
  <si>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</si>
  <si>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</si>
  <si>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</si>
  <si>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</si>
  <si>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</si>
  <si>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</si>
  <si>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</si>
  <si>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</si>
  <si>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</si>
  <si>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</si>
  <si>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</si>
  <si>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</si>
  <si>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</si>
  <si>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</si>
  <si>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</si>
  <si>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</si>
  <si>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</si>
  <si>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</si>
  <si>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</si>
  <si>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</si>
  <si>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</si>
  <si>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</si>
  <si>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</si>
  <si>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</si>
  <si>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</si>
  <si>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</si>
  <si>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</si>
  <si>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</si>
  <si>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</si>
  <si>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</si>
  <si>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</si>
  <si>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</si>
  <si>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</si>
  <si>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</si>
  <si>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</si>
  <si>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</si>
  <si>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</si>
  <si>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</si>
  <si>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</si>
  <si>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</si>
  <si>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</si>
  <si>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</si>
  <si>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</si>
  <si>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</si>
  <si>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</si>
  <si>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</si>
  <si>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</si>
  <si>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</si>
  <si>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</si>
  <si>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</si>
  <si>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</si>
  <si>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</si>
  <si>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</si>
  <si>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</si>
  <si>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</si>
  <si>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</si>
  <si>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</si>
  <si>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</si>
  <si>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</si>
  <si>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</si>
  <si>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</si>
  <si>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</si>
  <si>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</si>
  <si>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</si>
  <si>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</si>
  <si>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</si>
  <si>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</si>
  <si>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</si>
  <si>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</si>
  <si>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</si>
  <si>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</si>
  <si>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</si>
  <si>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</si>
  <si>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</si>
  <si>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</si>
  <si>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</si>
  <si>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</si>
  <si>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</si>
  <si>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</si>
  <si>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</si>
  <si>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</si>
  <si>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</si>
  <si>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</si>
  <si>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</si>
  <si>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</si>
  <si>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</si>
  <si>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</si>
  <si>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</si>
  <si>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</si>
  <si>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</si>
  <si>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</si>
  <si>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</si>
  <si>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</si>
  <si>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</si>
  <si>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</si>
  <si>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</si>
  <si>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</si>
  <si>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</si>
  <si>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</si>
  <si>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</si>
  <si>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</si>
  <si>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</si>
  <si>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</si>
  <si>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</si>
  <si>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</si>
  <si>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</si>
  <si>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</si>
  <si>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</si>
  <si>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</si>
  <si>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</si>
  <si>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</si>
  <si>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</si>
  <si>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</si>
  <si>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</si>
  <si>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</si>
  <si>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</si>
  <si>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</si>
  <si>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</si>
  <si>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</si>
  <si>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</si>
  <si>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</si>
  <si>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</si>
  <si>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</si>
  <si>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</si>
  <si>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</si>
  <si>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</si>
  <si>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</si>
  <si>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</si>
  <si>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</si>
  <si>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</si>
  <si>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</si>
  <si>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</si>
  <si>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</si>
  <si>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</si>
  <si>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</si>
  <si>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</si>
  <si>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</si>
  <si>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</si>
  <si>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</si>
  <si>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</si>
  <si>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</si>
  <si>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</si>
  <si>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</si>
  <si>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</si>
  <si>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</si>
  <si>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</si>
  <si>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</si>
  <si>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</si>
  <si>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</si>
  <si>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</si>
  <si>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</si>
  <si>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</si>
  <si>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</si>
  <si>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</si>
  <si>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</si>
  <si>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</si>
  <si>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</si>
  <si>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</si>
  <si>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</si>
  <si>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</si>
  <si>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</si>
  <si>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</si>
  <si>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</si>
  <si>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</si>
  <si>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</si>
  <si>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</si>
  <si>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</si>
  <si>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</si>
  <si>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</si>
  <si>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</si>
  <si>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</si>
  <si>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</si>
  <si>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</si>
  <si>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</si>
  <si>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</si>
  <si>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</si>
  <si>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</si>
  <si>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</si>
  <si>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</si>
  <si>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</si>
  <si>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</si>
  <si>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</si>
  <si>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</si>
  <si>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</si>
  <si>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</si>
  <si>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</si>
  <si>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</si>
  <si>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</si>
  <si>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</si>
  <si>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</si>
  <si>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</si>
  <si>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</si>
  <si>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</si>
  <si>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</si>
  <si>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</si>
  <si>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</si>
  <si>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</si>
  <si>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</si>
  <si>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</si>
  <si>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</si>
  <si>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</si>
  <si>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</si>
  <si>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</si>
  <si>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</si>
  <si>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</si>
  <si>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</si>
  <si>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</si>
  <si>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</si>
  <si>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</si>
  <si>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</si>
  <si>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</si>
  <si>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</si>
  <si>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</si>
  <si>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</si>
  <si>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</si>
  <si>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</si>
  <si>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</si>
  <si>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</si>
  <si>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</si>
  <si>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</si>
  <si>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</si>
  <si>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</si>
  <si>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</si>
  <si>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</si>
  <si>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</si>
  <si>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</si>
  <si>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</si>
  <si>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</si>
  <si>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</si>
  <si>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</si>
  <si>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</si>
  <si>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</si>
  <si>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</si>
  <si>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</si>
  <si>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</si>
  <si>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</si>
  <si>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</si>
  <si>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</si>
  <si>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</si>
  <si>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</si>
  <si>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</si>
  <si>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</si>
  <si>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</si>
  <si>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</si>
  <si>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</si>
  <si>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</si>
  <si>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</si>
  <si>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</si>
  <si>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</si>
  <si>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</si>
  <si>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</si>
  <si>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</si>
  <si>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</si>
  <si>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</si>
  <si>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</si>
  <si>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</si>
  <si>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</si>
  <si>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</si>
  <si>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</si>
  <si>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</si>
  <si>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</si>
  <si>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</si>
  <si>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</si>
  <si>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</si>
  <si>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</si>
  <si>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</si>
  <si>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</si>
  <si>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</si>
  <si>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</si>
  <si>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</si>
  <si>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</si>
  <si>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</si>
  <si>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</si>
  <si>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</si>
  <si>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</si>
  <si>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</si>
  <si>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</si>
  <si>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</si>
  <si>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</si>
  <si>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</si>
  <si>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</si>
  <si>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</si>
  <si>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</si>
  <si>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</si>
  <si>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</si>
  <si>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</si>
  <si>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</si>
  <si>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</si>
  <si>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</si>
  <si>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</si>
  <si>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</si>
  <si>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</si>
  <si>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</si>
  <si>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</si>
  <si>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</si>
  <si>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</si>
  <si>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</si>
  <si>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</si>
  <si>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</si>
  <si>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</si>
  <si>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</si>
  <si>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</si>
  <si>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</si>
  <si>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</si>
  <si>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</si>
  <si>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</si>
  <si>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</si>
  <si>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</si>
  <si>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</si>
  <si>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</si>
  <si>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</si>
  <si>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</si>
  <si>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</si>
  <si>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</si>
  <si>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</si>
  <si>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</si>
  <si>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</si>
  <si>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</si>
  <si>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</si>
  <si>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</si>
  <si>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</si>
  <si>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</si>
  <si>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</si>
  <si>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</si>
  <si>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</si>
  <si>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</si>
  <si>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</si>
  <si>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</si>
  <si>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</si>
  <si>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</si>
  <si>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</si>
  <si>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</si>
  <si>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</si>
  <si>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</si>
  <si>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</si>
  <si>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</si>
  <si>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</si>
  <si>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</si>
  <si>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</si>
  <si>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</si>
  <si>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</si>
  <si>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</si>
  <si>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</si>
  <si>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</si>
  <si>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</si>
  <si>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</si>
  <si>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</si>
  <si>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</si>
  <si>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</si>
  <si>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</si>
  <si>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</si>
  <si>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</si>
  <si>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</si>
  <si>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</si>
  <si>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</si>
  <si>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</si>
  <si>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</si>
  <si>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</si>
  <si>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</si>
  <si>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</si>
  <si>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</si>
  <si>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</si>
  <si>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</si>
  <si>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</si>
  <si>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</si>
  <si>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</si>
  <si>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</si>
  <si>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</si>
  <si>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</si>
  <si>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</si>
  <si>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</si>
  <si>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</si>
  <si>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</si>
  <si>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</si>
  <si>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</si>
  <si>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</si>
  <si>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</si>
  <si>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</si>
  <si>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</si>
  <si>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</si>
  <si>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</si>
  <si>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</si>
  <si>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</si>
  <si>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</si>
  <si>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</si>
  <si>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</si>
  <si>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</si>
  <si>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</si>
  <si>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</si>
  <si>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</si>
  <si>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</si>
  <si>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</si>
  <si>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</si>
  <si>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</si>
  <si>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</si>
  <si>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</si>
  <si>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</si>
  <si>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</si>
  <si>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</si>
  <si>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</si>
  <si>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</si>
  <si>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</si>
  <si>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</si>
  <si>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</si>
  <si>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</si>
  <si>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</si>
  <si>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</si>
  <si>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</si>
  <si>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</si>
  <si>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</si>
  <si>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</si>
  <si>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</si>
  <si>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</si>
  <si>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</si>
  <si>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</si>
  <si>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</si>
  <si>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</si>
  <si>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</si>
  <si>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</si>
  <si>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</si>
  <si>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</si>
  <si>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</si>
  <si>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</si>
  <si>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</si>
  <si>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</si>
  <si>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</si>
  <si>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</si>
  <si>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</si>
  <si>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</si>
  <si>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</si>
  <si>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</si>
  <si>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</si>
  <si>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</si>
  <si>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</si>
  <si>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</si>
  <si>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</si>
  <si>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</si>
  <si>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</si>
  <si>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</si>
  <si>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</si>
  <si>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</si>
  <si>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</si>
  <si>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</si>
  <si>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</si>
  <si>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</si>
  <si>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</si>
  <si>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</si>
  <si>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</si>
  <si>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</si>
  <si>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</si>
  <si>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</si>
  <si>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</si>
  <si>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</si>
  <si>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</si>
  <si>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</si>
  <si>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</si>
  <si>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</si>
  <si>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</si>
  <si>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</si>
  <si>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</si>
  <si>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</si>
  <si>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</si>
  <si>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</si>
  <si>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</si>
  <si>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</si>
  <si>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</si>
  <si>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</si>
  <si>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</si>
  <si>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</si>
  <si>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</si>
  <si>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</si>
  <si>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</si>
  <si>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</si>
  <si>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</si>
  <si>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</si>
  <si>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</si>
  <si>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</si>
  <si>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</si>
  <si>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</si>
  <si>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</si>
  <si>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</si>
  <si>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</si>
  <si>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</si>
  <si>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</si>
  <si>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</si>
  <si>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</si>
  <si>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</si>
  <si>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</si>
  <si>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</si>
  <si>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</si>
  <si>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</si>
  <si>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</si>
  <si>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</si>
  <si>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</si>
  <si>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</si>
  <si>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</si>
  <si>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</si>
  <si>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</si>
  <si>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</si>
  <si>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</si>
  <si>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</si>
  <si>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</si>
  <si>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</si>
  <si>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</si>
  <si>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</si>
  <si>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</si>
  <si>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</si>
  <si>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</si>
  <si>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</si>
  <si>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</si>
  <si>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</si>
  <si>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</si>
  <si>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</si>
  <si>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</si>
  <si>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</si>
  <si>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</si>
  <si>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</si>
  <si>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</si>
  <si>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</si>
  <si>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</si>
  <si>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</si>
  <si>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</si>
  <si>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</si>
  <si>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</si>
  <si>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</si>
  <si>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</si>
  <si>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</si>
  <si>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</si>
  <si>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</si>
  <si>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</si>
  <si>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</si>
  <si>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</si>
  <si>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</si>
  <si>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</si>
  <si>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</si>
  <si>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</si>
  <si>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</si>
  <si>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</si>
  <si>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</si>
  <si>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</si>
  <si>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</si>
  <si>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</si>
  <si>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</si>
  <si>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</si>
  <si>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</si>
  <si>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</si>
  <si>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</si>
  <si>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</si>
  <si>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</si>
  <si>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</si>
  <si>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</si>
  <si>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</si>
  <si>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</si>
  <si>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</si>
  <si>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</si>
  <si>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</si>
  <si>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</si>
  <si>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</si>
  <si>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</si>
  <si>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</si>
  <si>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</si>
  <si>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</si>
  <si>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</si>
  <si>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</si>
  <si>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</si>
  <si>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</si>
  <si>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</si>
  <si>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</si>
  <si>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</si>
  <si>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</si>
  <si>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</si>
  <si>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</si>
  <si>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</si>
  <si>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</si>
  <si>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</si>
  <si>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</si>
  <si>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</si>
  <si>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</si>
  <si>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</si>
  <si>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</si>
  <si>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</si>
  <si>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</si>
  <si>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</si>
  <si>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</si>
  <si>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</si>
  <si>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</si>
  <si>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</si>
  <si>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</si>
  <si>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</si>
  <si>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</si>
  <si>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</si>
  <si>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</si>
  <si>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</si>
  <si>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</si>
  <si>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</si>
  <si>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</si>
  <si>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</si>
  <si>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</si>
  <si>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</si>
  <si>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</si>
  <si>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</si>
  <si>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</si>
  <si>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</si>
  <si>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</si>
  <si>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</si>
  <si>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</si>
  <si>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</si>
  <si>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</si>
  <si>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</si>
  <si>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</si>
  <si>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</si>
  <si>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</si>
  <si>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</si>
  <si>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</si>
  <si>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</si>
  <si>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</si>
  <si>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</si>
  <si>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</si>
  <si>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</si>
  <si>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</si>
  <si>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</si>
  <si>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</si>
  <si>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</si>
  <si>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</si>
  <si>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</si>
  <si>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</si>
  <si>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</si>
  <si>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</si>
  <si>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</si>
  <si>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</si>
  <si>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</si>
  <si>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</si>
  <si>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</si>
  <si>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</si>
  <si>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</si>
  <si>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</si>
  <si>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</si>
  <si>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</si>
  <si>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</si>
  <si>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</si>
  <si>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</si>
  <si>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</si>
  <si>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</si>
  <si>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</si>
  <si>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</si>
  <si>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</si>
  <si>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</si>
  <si>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</si>
  <si>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</si>
  <si>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</si>
  <si>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</si>
  <si>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</si>
  <si>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</si>
  <si>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</si>
  <si>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</si>
  <si>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</si>
  <si>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</si>
  <si>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</si>
  <si>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</si>
  <si>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</si>
  <si>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</si>
  <si>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</si>
  <si>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</si>
  <si>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</si>
  <si>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</si>
  <si>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</si>
  <si>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</si>
  <si>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</si>
  <si>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</si>
  <si>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</si>
  <si>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</si>
  <si>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</si>
  <si>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</si>
  <si>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</si>
  <si>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</si>
  <si>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</si>
  <si>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</si>
  <si>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</si>
  <si>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</si>
  <si>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</si>
  <si>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</si>
  <si>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</si>
  <si>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</si>
  <si>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</si>
  <si>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</si>
  <si>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</si>
  <si>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</si>
  <si>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</si>
  <si>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</si>
  <si>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</si>
  <si>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</si>
  <si>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</si>
  <si>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</si>
  <si>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</si>
  <si>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</si>
  <si>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</si>
  <si>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</si>
  <si>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</si>
  <si>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</si>
  <si>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</si>
  <si>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</si>
  <si>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</si>
  <si>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</si>
  <si>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</si>
  <si>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</si>
  <si>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</si>
  <si>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</si>
  <si>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</si>
  <si>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</si>
  <si>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</si>
  <si>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</si>
  <si>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</si>
  <si>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</si>
  <si>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</si>
  <si>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</si>
  <si>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</si>
  <si>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</si>
  <si>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</si>
  <si>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</si>
  <si>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</si>
  <si>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</si>
  <si>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</si>
  <si>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</si>
  <si>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</si>
  <si>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</si>
  <si>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</si>
  <si>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</si>
  <si>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</si>
  <si>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</si>
  <si>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</si>
  <si>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</si>
  <si>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</si>
  <si>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</si>
  <si>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</si>
  <si>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</si>
  <si>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</si>
  <si>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</si>
  <si>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</si>
  <si>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</si>
  <si>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</si>
  <si>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</si>
  <si>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</si>
  <si>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</si>
  <si>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</si>
  <si>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</si>
  <si>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</si>
  <si>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</si>
  <si>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</si>
  <si>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</si>
  <si>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</si>
  <si>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</si>
  <si>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</si>
  <si>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</si>
  <si>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</si>
  <si>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</si>
  <si>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</si>
  <si>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</si>
  <si>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</si>
  <si>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</si>
  <si>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</si>
  <si>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</si>
  <si>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</si>
  <si>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</si>
  <si>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</si>
  <si>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</si>
  <si>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</si>
  <si>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</si>
  <si>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</si>
  <si>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</si>
  <si>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</si>
  <si>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</si>
  <si>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</si>
  <si>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</si>
  <si>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</si>
  <si>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</si>
  <si>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</si>
  <si>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</si>
  <si>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</si>
  <si>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</si>
  <si>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</si>
  <si>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</si>
  <si>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</si>
  <si>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</si>
  <si>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</si>
  <si>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</si>
  <si>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</si>
  <si>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</si>
  <si>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</si>
  <si>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</si>
  <si>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</si>
  <si>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</si>
  <si>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</si>
  <si>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</si>
  <si>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</si>
  <si>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</si>
  <si>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</si>
  <si>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</si>
  <si>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</si>
  <si>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</si>
  <si>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</si>
  <si>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</si>
  <si>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</si>
  <si>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</si>
  <si>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</si>
  <si>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</si>
  <si>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</si>
  <si>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</si>
  <si>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</si>
  <si>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</si>
  <si>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</si>
  <si>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</si>
  <si>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</si>
  <si>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</si>
  <si>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</si>
  <si>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</si>
  <si>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</si>
  <si>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</si>
  <si>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</si>
  <si>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</si>
  <si>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</si>
  <si>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</si>
  <si>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</si>
  <si>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</si>
  <si>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</si>
  <si>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</si>
  <si>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</si>
  <si>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</si>
  <si>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</si>
  <si>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</si>
  <si>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</si>
  <si>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</si>
  <si>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</si>
  <si>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</si>
  <si>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</si>
  <si>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</si>
  <si>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</si>
  <si>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</si>
  <si>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</si>
  <si>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</si>
  <si>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</si>
  <si>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</si>
  <si>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</si>
  <si>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</si>
  <si>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</si>
  <si>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</si>
  <si>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</si>
  <si>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</si>
  <si>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</si>
  <si>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</si>
  <si>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</si>
  <si>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</si>
  <si>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</si>
  <si>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</si>
  <si>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</si>
  <si>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</si>
  <si>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</si>
  <si>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</si>
  <si>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</si>
  <si>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</si>
  <si>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</si>
  <si>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</si>
  <si>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</si>
  <si>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</si>
  <si>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</si>
  <si>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</si>
  <si>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</si>
  <si>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</si>
  <si>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</si>
  <si>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</si>
  <si>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</si>
  <si>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</si>
  <si>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</si>
  <si>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</si>
  <si>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</si>
  <si>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</si>
  <si>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</si>
  <si>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</si>
  <si>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</si>
  <si>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</si>
  <si>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</si>
  <si>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</si>
  <si>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</si>
  <si>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</si>
  <si>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</si>
  <si>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</si>
  <si>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</si>
  <si>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</si>
  <si>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</si>
  <si>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</si>
  <si>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</si>
  <si>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</si>
  <si>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</si>
  <si>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</si>
  <si>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</si>
  <si>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</si>
  <si>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</si>
  <si>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</si>
  <si>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</si>
  <si>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</si>
  <si>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</si>
  <si>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</si>
  <si>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</si>
  <si>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</si>
  <si>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</si>
  <si>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</si>
  <si>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</si>
  <si>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</si>
  <si>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</si>
  <si>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</si>
  <si>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</si>
  <si>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</si>
  <si>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</si>
  <si>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</si>
  <si>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</si>
  <si>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</si>
  <si>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</si>
  <si>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</si>
  <si>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</si>
  <si>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</si>
  <si>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</si>
  <si>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</si>
  <si>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</si>
  <si>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</si>
  <si>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</si>
  <si>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</si>
  <si>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</si>
  <si>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</si>
  <si>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</si>
  <si>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</si>
  <si>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</si>
  <si>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</si>
  <si>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</si>
  <si>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</si>
  <si>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</si>
  <si>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</si>
  <si>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</si>
  <si>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</si>
  <si>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</si>
  <si>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</si>
  <si>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</si>
  <si>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</si>
  <si>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</si>
  <si>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</si>
  <si>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</si>
  <si>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</si>
  <si>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</si>
  <si>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</si>
  <si>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</si>
  <si>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</si>
  <si>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</si>
  <si>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</si>
  <si>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</si>
  <si>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</si>
  <si>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</si>
  <si>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</si>
  <si>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</si>
  <si>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</si>
  <si>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</si>
  <si>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</si>
  <si>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</si>
  <si>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</si>
  <si>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</si>
  <si>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</si>
  <si>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</si>
  <si>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</si>
  <si>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</si>
  <si>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</si>
  <si>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</si>
  <si>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</si>
  <si>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</si>
  <si>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</si>
  <si>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</si>
  <si>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</si>
  <si>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</si>
  <si>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</si>
  <si>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</si>
  <si>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</si>
  <si>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</si>
  <si>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</si>
  <si>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</si>
  <si>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</si>
  <si>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</si>
  <si>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</si>
  <si>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</si>
  <si>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</si>
  <si>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</si>
  <si>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</si>
  <si>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</si>
  <si>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</si>
  <si>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</si>
  <si>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</si>
  <si>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</si>
  <si>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</si>
  <si>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</si>
  <si>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</si>
  <si>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</si>
  <si>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</si>
  <si>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</si>
  <si>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</si>
  <si>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</si>
  <si>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</si>
  <si>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</si>
  <si>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</si>
  <si>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</si>
  <si>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</si>
  <si>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</si>
  <si>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</si>
  <si>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</si>
  <si>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</si>
  <si>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</si>
  <si>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</si>
  <si>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</si>
  <si>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</si>
  <si>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</si>
  <si>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</si>
  <si>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</si>
  <si>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</si>
  <si>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</si>
  <si>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</si>
  <si>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</si>
  <si>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</si>
  <si>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</si>
  <si>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</si>
  <si>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</si>
  <si>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</si>
  <si>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</si>
  <si>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</si>
  <si>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</si>
  <si>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</si>
  <si>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</si>
  <si>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</si>
  <si>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</si>
  <si>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</si>
  <si>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</si>
  <si>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</si>
  <si>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</si>
  <si>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</si>
  <si>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</si>
  <si>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</si>
  <si>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</si>
  <si>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</si>
  <si>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</si>
  <si>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</si>
  <si>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</si>
  <si>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</si>
  <si>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</si>
  <si>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</si>
  <si>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</si>
  <si>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</si>
  <si>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</si>
  <si>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</si>
  <si>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</si>
  <si>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</si>
  <si>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</si>
  <si>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</si>
  <si>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</si>
  <si>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</si>
  <si>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</si>
  <si>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</si>
  <si>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</si>
  <si>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</si>
  <si>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</si>
  <si>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</si>
  <si>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</si>
  <si>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</si>
  <si>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</si>
  <si>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</si>
  <si>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</si>
  <si>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</si>
  <si>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</si>
  <si>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</si>
  <si>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</si>
  <si>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</si>
  <si>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</si>
  <si>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</si>
  <si>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</si>
  <si>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</si>
  <si>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</si>
  <si>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</si>
  <si>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</si>
  <si>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</si>
  <si>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</si>
  <si>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</si>
  <si>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</si>
  <si>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</si>
  <si>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</si>
  <si>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</si>
  <si>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</si>
  <si>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</si>
  <si>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</si>
  <si>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</si>
  <si>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</si>
  <si>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</si>
  <si>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</si>
  <si>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</si>
  <si>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</si>
  <si>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</si>
  <si>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</si>
  <si>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</si>
  <si>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</si>
  <si>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</si>
  <si>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</si>
  <si>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</si>
  <si>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</si>
  <si>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</si>
  <si>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</si>
  <si>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</si>
  <si>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</si>
  <si>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</si>
  <si>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</si>
  <si>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</si>
  <si>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</si>
  <si>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</si>
  <si>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</si>
  <si>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</si>
  <si>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</si>
  <si>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</si>
  <si>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</si>
  <si>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</si>
  <si>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</si>
  <si>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</si>
  <si>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</si>
  <si>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</si>
  <si>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</si>
  <si>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</si>
  <si>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</si>
  <si>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</si>
  <si>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</si>
  <si>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</si>
  <si>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</si>
  <si>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</si>
  <si>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</si>
  <si>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</si>
  <si>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</si>
  <si>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</si>
  <si>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</si>
  <si>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</si>
  <si>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</si>
  <si>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</si>
  <si>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</si>
  <si>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</si>
  <si>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</si>
  <si>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</si>
  <si>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</si>
  <si>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</si>
  <si>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</si>
  <si>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</si>
  <si>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</si>
  <si>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</si>
  <si>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</si>
  <si>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</si>
  <si>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</si>
  <si>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</si>
  <si>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</si>
  <si>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</si>
  <si>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</si>
  <si>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</si>
  <si>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</si>
  <si>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</si>
  <si>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</si>
  <si>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</si>
  <si>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</si>
  <si>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</si>
  <si>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</si>
  <si>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</si>
  <si>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</si>
  <si>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</si>
  <si>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</si>
  <si>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</si>
  <si>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</si>
  <si>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</si>
  <si>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</si>
  <si>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</si>
  <si>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</si>
  <si>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</si>
  <si>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</si>
  <si>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</si>
  <si>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</si>
  <si>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</si>
  <si>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</si>
  <si>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</si>
  <si>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</si>
  <si>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</si>
  <si>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</si>
  <si>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</si>
  <si>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</si>
  <si>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</si>
  <si>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</si>
  <si>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</si>
  <si>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</si>
  <si>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</si>
  <si>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</si>
  <si>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</si>
  <si>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</si>
  <si>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</si>
  <si>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</si>
  <si>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</si>
  <si>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</si>
  <si>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</si>
  <si>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</si>
  <si>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</si>
  <si>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</si>
  <si>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</si>
  <si>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</si>
  <si>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</si>
  <si>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</si>
  <si>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</si>
  <si>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</si>
  <si>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</si>
  <si>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</si>
  <si>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</si>
  <si>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</si>
  <si>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</si>
  <si>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</si>
  <si>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</si>
  <si>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</si>
  <si>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</si>
  <si>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</si>
  <si>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</si>
  <si>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</si>
  <si>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</si>
  <si>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</si>
  <si>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</si>
  <si>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</si>
  <si>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</si>
  <si>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</si>
  <si>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</si>
  <si>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</si>
  <si>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</si>
  <si>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</si>
  <si>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</si>
  <si>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</si>
  <si>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</si>
  <si>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</si>
  <si>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</si>
  <si>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</si>
  <si>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</si>
  <si>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</si>
  <si>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</si>
  <si>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</si>
  <si>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</si>
  <si>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</si>
  <si>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</si>
  <si>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</si>
  <si>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</si>
  <si>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</si>
  <si>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</si>
  <si>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</si>
  <si>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</si>
  <si>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</si>
  <si>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</si>
  <si>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</si>
  <si>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</si>
  <si>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</si>
  <si>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</si>
  <si>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</si>
  <si>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</si>
  <si>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</si>
  <si>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</si>
  <si>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</si>
  <si>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</si>
  <si>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</si>
  <si>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</si>
  <si>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</si>
  <si>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</si>
  <si>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</si>
  <si>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</si>
  <si>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</si>
  <si>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</si>
  <si>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</si>
  <si>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</si>
  <si>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</si>
  <si>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</si>
  <si>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</si>
  <si>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</si>
  <si>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</si>
  <si>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</si>
  <si>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</si>
  <si>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</si>
  <si>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</si>
  <si>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</si>
  <si>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</si>
  <si>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</si>
  <si>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</si>
  <si>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</si>
  <si>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</si>
  <si>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</si>
  <si>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</si>
  <si>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</si>
  <si>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</si>
  <si>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</si>
  <si>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</si>
  <si>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</si>
  <si>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</si>
  <si>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</si>
  <si>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</si>
  <si>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</si>
  <si>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</si>
  <si>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</si>
  <si>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</si>
  <si>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</si>
  <si>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</si>
  <si>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</si>
  <si>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</si>
  <si>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</si>
  <si>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</si>
  <si>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</si>
  <si>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</si>
  <si>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</si>
  <si>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</si>
  <si>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</si>
  <si>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</si>
  <si>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</si>
  <si>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</si>
  <si>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</si>
  <si>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</si>
  <si>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</si>
  <si>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</si>
  <si>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</si>
  <si>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</si>
  <si>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</si>
  <si>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</si>
  <si>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</si>
  <si>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</si>
  <si>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</si>
  <si>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</si>
  <si>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</si>
  <si>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</si>
  <si>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</si>
  <si>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</si>
  <si>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</si>
  <si>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</si>
  <si>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</si>
  <si>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</si>
  <si>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</si>
  <si>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</si>
  <si>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</si>
  <si>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</si>
  <si>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</si>
  <si>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</si>
  <si>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</si>
  <si>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</si>
  <si>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</si>
  <si>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</si>
  <si>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</si>
  <si>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</si>
  <si>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</si>
  <si>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</si>
  <si>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</si>
  <si>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</si>
  <si>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</si>
  <si>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</si>
  <si>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</si>
  <si>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</si>
  <si>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</si>
  <si>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</si>
  <si>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</si>
  <si>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</si>
  <si>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</si>
  <si>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</si>
  <si>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</si>
  <si>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</si>
  <si>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</si>
  <si>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</si>
  <si>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</si>
  <si>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</si>
  <si>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</si>
  <si>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</si>
  <si>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</si>
  <si>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</si>
  <si>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</si>
  <si>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</si>
  <si>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</si>
  <si>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</si>
  <si>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</si>
  <si>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</si>
  <si>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</si>
  <si>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</si>
  <si>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</si>
  <si>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</si>
  <si>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</si>
  <si>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</si>
  <si>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</si>
  <si>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</si>
  <si>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</si>
  <si>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</si>
  <si>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</si>
  <si>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</si>
  <si>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</si>
  <si>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</si>
  <si>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</si>
  <si>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</si>
  <si>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</si>
  <si>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</si>
  <si>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</si>
  <si>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</si>
  <si>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</si>
  <si>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</si>
  <si>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</si>
  <si>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</si>
  <si>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</si>
  <si>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</si>
  <si>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</si>
  <si>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</si>
  <si>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</si>
  <si>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</si>
  <si>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</si>
  <si>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</si>
  <si>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</si>
  <si>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</si>
  <si>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</si>
  <si>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</si>
  <si>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</si>
  <si>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</si>
  <si>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</si>
  <si>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</si>
  <si>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</si>
  <si>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</si>
  <si>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</si>
  <si>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</si>
  <si>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</si>
  <si>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</si>
  <si>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</si>
  <si>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</si>
  <si>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</si>
  <si>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</si>
  <si>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</si>
  <si>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</si>
  <si>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</si>
  <si>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</si>
  <si>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</si>
  <si>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</si>
  <si>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</si>
  <si>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</si>
  <si>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</si>
  <si>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</si>
  <si>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</si>
  <si>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</si>
  <si>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</si>
  <si>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</si>
  <si>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</si>
  <si>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</si>
  <si>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</si>
  <si>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</si>
  <si>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</si>
  <si>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</si>
  <si>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</si>
  <si>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</si>
  <si>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</si>
  <si>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</si>
  <si>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</si>
  <si>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</si>
  <si>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</si>
  <si>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</si>
  <si>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</si>
  <si>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</si>
  <si>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</si>
  <si>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</si>
  <si>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</si>
  <si>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</si>
  <si>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</si>
  <si>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</si>
  <si>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</si>
  <si>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</si>
  <si>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</si>
  <si>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</si>
  <si>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</si>
  <si>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</si>
  <si>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</si>
  <si>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</si>
  <si>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</si>
  <si>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</si>
  <si>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</si>
  <si>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</si>
  <si>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</si>
  <si>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</si>
  <si>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</si>
  <si>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</si>
  <si>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</si>
  <si>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</si>
  <si>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</si>
  <si>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</si>
  <si>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</si>
  <si>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</si>
  <si>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</si>
  <si>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</si>
  <si>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</si>
  <si>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</si>
  <si>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</si>
  <si>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</si>
  <si>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</si>
  <si>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</si>
  <si>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</si>
  <si>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</si>
  <si>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</si>
  <si>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</si>
  <si>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</si>
  <si>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</si>
  <si>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</si>
  <si>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</si>
  <si>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</si>
  <si>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</si>
  <si>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</si>
  <si>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</si>
  <si>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</si>
  <si>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</si>
  <si>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</si>
  <si>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</si>
  <si>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</si>
  <si>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</si>
  <si>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</si>
  <si>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</si>
  <si>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</si>
  <si>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</si>
  <si>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</si>
  <si>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</si>
  <si>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</si>
  <si>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</si>
  <si>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</si>
  <si>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</si>
  <si>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</si>
  <si>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</si>
  <si>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</si>
  <si>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</si>
  <si>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</si>
  <si>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</si>
  <si>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</si>
  <si>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</si>
  <si>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</si>
  <si>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</si>
  <si>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</si>
  <si>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</si>
  <si>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</si>
  <si>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</si>
  <si>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</si>
  <si>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</si>
  <si>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</si>
  <si>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</si>
  <si>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</si>
  <si>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</si>
  <si>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</si>
  <si>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</si>
  <si>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</si>
  <si>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</si>
  <si>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</si>
  <si>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</si>
  <si>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</si>
  <si>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</si>
  <si>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</si>
  <si>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</si>
  <si>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</si>
  <si>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</si>
  <si>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</si>
  <si>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</si>
  <si>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</si>
  <si>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</si>
  <si>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</si>
  <si>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</si>
  <si>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</si>
  <si>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</si>
  <si>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</si>
  <si>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</si>
  <si>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</si>
  <si>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</si>
  <si>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</si>
  <si>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</si>
  <si>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</si>
  <si>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</si>
  <si>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</si>
  <si>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</si>
  <si>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</si>
  <si>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</si>
  <si>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</si>
  <si>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</si>
  <si>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</si>
  <si>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</si>
  <si>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</si>
  <si>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</si>
  <si>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</si>
  <si>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</si>
  <si>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</si>
  <si>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</si>
  <si>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</si>
  <si>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</si>
  <si>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</si>
  <si>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</si>
  <si>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</si>
  <si>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</si>
  <si>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</si>
  <si>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</si>
  <si>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</si>
  <si>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</si>
  <si>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</si>
  <si>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</si>
  <si>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</si>
  <si>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</si>
  <si>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</si>
  <si>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</si>
  <si>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</si>
  <si>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</si>
  <si>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</si>
  <si>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</si>
  <si>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</si>
  <si>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</si>
  <si>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</si>
  <si>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</si>
  <si>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</si>
  <si>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</si>
  <si>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</si>
  <si>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</si>
  <si>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</si>
  <si>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</si>
  <si>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</si>
  <si>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</si>
  <si>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</si>
  <si>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</si>
  <si>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</si>
  <si>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</si>
  <si>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</si>
  <si>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</si>
  <si>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</si>
  <si>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</si>
  <si>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</si>
  <si>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</si>
  <si>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</si>
  <si>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</si>
  <si>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</si>
  <si>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</si>
  <si>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</si>
  <si>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</si>
  <si>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</si>
  <si>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</si>
  <si>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</si>
  <si>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</si>
  <si>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</si>
  <si>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</si>
  <si>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</si>
  <si>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</si>
  <si>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</si>
  <si>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</si>
  <si>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</si>
  <si>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</si>
  <si>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</si>
  <si>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</si>
  <si>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</si>
  <si>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</si>
  <si>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</si>
  <si>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</si>
  <si>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</si>
  <si>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</si>
  <si>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</si>
  <si>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</si>
  <si>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</si>
  <si>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</si>
  <si>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</si>
  <si>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</si>
  <si>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</si>
  <si>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</si>
  <si>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</si>
  <si>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</si>
  <si>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</si>
  <si>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</si>
  <si>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</si>
  <si>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</si>
  <si>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</si>
  <si>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</si>
  <si>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</si>
  <si>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</si>
  <si>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</si>
  <si>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</si>
  <si>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</si>
  <si>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</si>
  <si>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</si>
  <si>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</si>
  <si>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</si>
  <si>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</si>
  <si>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</si>
  <si>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</si>
  <si>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</si>
  <si>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</si>
  <si>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</si>
  <si>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</si>
  <si>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</si>
  <si>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</si>
  <si>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</si>
  <si>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</si>
  <si>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</si>
  <si>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</si>
  <si>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</si>
  <si>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</si>
  <si>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</si>
  <si>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</si>
  <si>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</si>
  <si>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</si>
  <si>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</si>
  <si>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</si>
  <si>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</si>
  <si>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</si>
  <si>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</si>
  <si>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</si>
  <si>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</si>
  <si>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</si>
  <si>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</si>
  <si>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</si>
  <si>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</si>
  <si>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</si>
  <si>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</si>
  <si>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</si>
  <si>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</si>
  <si>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</si>
  <si>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</si>
  <si>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</si>
  <si>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</si>
  <si>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</si>
  <si>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</si>
  <si>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</si>
  <si>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</si>
  <si>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</si>
  <si>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</si>
  <si>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</si>
  <si>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</si>
  <si>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</si>
  <si>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</si>
  <si>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</si>
  <si>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</si>
  <si>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</si>
  <si>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</si>
  <si>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</si>
  <si>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</si>
  <si>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</si>
  <si>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</si>
  <si>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</si>
  <si>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</si>
  <si>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</si>
  <si>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</si>
  <si>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</si>
  <si>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</si>
  <si>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</si>
  <si>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</si>
  <si>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</si>
  <si>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</si>
  <si>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</si>
  <si>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</si>
  <si>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</si>
  <si>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</si>
  <si>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</si>
  <si>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</si>
  <si>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</si>
  <si>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</si>
  <si>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</si>
  <si>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</si>
  <si>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</si>
  <si>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</si>
  <si>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</si>
  <si>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</si>
  <si>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</si>
  <si>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</si>
  <si>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</si>
  <si>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</si>
  <si>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</si>
  <si>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</si>
  <si>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</si>
  <si>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</si>
  <si>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</si>
  <si>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</si>
  <si>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</si>
  <si>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</si>
  <si>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</si>
  <si>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</si>
  <si>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</si>
  <si>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</si>
  <si>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</si>
  <si>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</si>
  <si>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</si>
  <si>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</si>
  <si>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</si>
  <si>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</si>
  <si>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</si>
  <si>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</si>
  <si>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</si>
  <si>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</si>
  <si>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</si>
  <si>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</si>
  <si>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</si>
  <si>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</si>
  <si>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</si>
  <si>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</si>
  <si>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</si>
  <si>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</si>
  <si>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</si>
  <si>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</si>
  <si>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</si>
  <si>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</si>
  <si>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</si>
  <si>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</si>
  <si>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</si>
  <si>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</si>
  <si>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</si>
  <si>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</si>
  <si>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</si>
  <si>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</si>
  <si>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</si>
  <si>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</si>
  <si>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</si>
  <si>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</si>
  <si>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</si>
  <si>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</si>
  <si>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</si>
  <si>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</si>
  <si>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</si>
  <si>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</si>
  <si>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</si>
  <si>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</si>
  <si>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</si>
  <si>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</si>
  <si>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</si>
  <si>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</si>
  <si>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</si>
  <si>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</si>
  <si>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</si>
  <si>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</si>
  <si>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</si>
  <si>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</si>
  <si>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</si>
  <si>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</si>
  <si>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</si>
  <si>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</si>
  <si>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</si>
  <si>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</si>
  <si>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</si>
  <si>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</si>
  <si>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</si>
  <si>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</si>
  <si>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</si>
  <si>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</si>
  <si>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</si>
  <si>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</si>
  <si>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</si>
  <si>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</si>
  <si>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</si>
  <si>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</si>
  <si>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</si>
  <si>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</si>
  <si>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</si>
  <si>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</si>
  <si>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</si>
  <si>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</si>
  <si>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</si>
  <si>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</si>
  <si>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</si>
  <si>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</si>
  <si>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</si>
  <si>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</si>
  <si>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</si>
  <si>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</si>
  <si>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</si>
  <si>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</si>
  <si>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</si>
  <si>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</si>
  <si>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</si>
  <si>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</si>
  <si>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</si>
  <si>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</si>
  <si>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</si>
  <si>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</si>
  <si>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</si>
  <si>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</si>
  <si>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</si>
  <si>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</si>
  <si>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</si>
  <si>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</si>
  <si>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</si>
  <si>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</si>
  <si>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</si>
  <si>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</si>
  <si>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</si>
  <si>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</si>
  <si>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</si>
  <si>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</si>
  <si>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</si>
  <si>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</si>
  <si>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</si>
  <si>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</si>
  <si>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</si>
  <si>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</si>
  <si>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</si>
  <si>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</si>
  <si>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</si>
  <si>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</si>
  <si>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</si>
  <si>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</si>
  <si>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</si>
  <si>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</si>
  <si>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</si>
  <si>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</si>
  <si>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</si>
  <si>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</si>
  <si>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</si>
  <si>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</si>
  <si>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</si>
  <si>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</si>
  <si>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</si>
  <si>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</si>
  <si>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</si>
  <si>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</si>
  <si>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</si>
  <si>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</si>
  <si>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</si>
  <si>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</si>
  <si>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</si>
  <si>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</si>
  <si>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</si>
  <si>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</si>
  <si>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</si>
  <si>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</si>
  <si>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</si>
  <si>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</si>
  <si>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</si>
  <si>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</si>
  <si>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</si>
  <si>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</si>
  <si>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</si>
  <si>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</si>
  <si>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</si>
  <si>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</si>
  <si>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</si>
  <si>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</si>
  <si>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</si>
  <si>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</si>
  <si>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</si>
  <si>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</si>
  <si>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</si>
  <si>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</si>
  <si>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</si>
  <si>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</si>
  <si>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</si>
  <si>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</si>
  <si>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</si>
  <si>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</si>
  <si>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</si>
  <si>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</si>
  <si>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</si>
  <si>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</si>
  <si>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</si>
  <si>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</si>
  <si>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</si>
  <si>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</si>
  <si>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</si>
  <si>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</si>
  <si>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</si>
  <si>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</si>
  <si>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</si>
  <si>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</si>
  <si>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</si>
  <si>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</si>
  <si>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</si>
  <si>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</si>
  <si>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</si>
  <si>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</si>
  <si>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</si>
  <si>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</si>
  <si>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</si>
  <si>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</si>
  <si>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</si>
  <si>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</si>
  <si>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</si>
  <si>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</si>
  <si>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</si>
  <si>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</si>
  <si>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</si>
  <si>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</si>
  <si>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</si>
  <si>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</si>
  <si>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</si>
  <si>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</si>
  <si>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</si>
  <si>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</si>
  <si>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</si>
  <si>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</si>
  <si>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</si>
  <si>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</si>
  <si>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</si>
  <si>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</si>
  <si>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</si>
  <si>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</si>
  <si>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</si>
  <si>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</si>
  <si>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</si>
  <si>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</si>
  <si>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</si>
  <si>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</si>
  <si>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</si>
  <si>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</si>
  <si>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</si>
  <si>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</si>
  <si>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</si>
  <si>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</si>
  <si>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</si>
  <si>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</si>
  <si>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</si>
  <si>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</si>
  <si>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</si>
  <si>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</si>
  <si>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</si>
  <si>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</si>
  <si>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</si>
  <si>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</si>
  <si>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</si>
  <si>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</si>
  <si>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</si>
  <si>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</si>
  <si>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</si>
  <si>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</si>
  <si>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</si>
  <si>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</si>
  <si>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</si>
  <si>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</si>
  <si>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</si>
  <si>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</si>
  <si>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</si>
  <si>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</si>
  <si>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</si>
  <si>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</si>
  <si>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</si>
  <si>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</si>
  <si>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</si>
  <si>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</si>
  <si>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</si>
  <si>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</si>
  <si>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</si>
  <si>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</si>
  <si>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</si>
  <si>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</si>
  <si>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</si>
  <si>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</si>
  <si>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</si>
  <si>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</si>
  <si>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</si>
  <si>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</si>
  <si>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</si>
  <si>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</si>
  <si>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</si>
  <si>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</si>
  <si>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</si>
  <si>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</si>
  <si>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</si>
  <si>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</si>
  <si>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</si>
  <si>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</si>
  <si>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</si>
  <si>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</si>
  <si>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</si>
  <si>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</si>
  <si>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</si>
  <si>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</si>
  <si>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</si>
  <si>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</si>
  <si>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</si>
  <si>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</si>
  <si>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</si>
  <si>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</si>
  <si>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</si>
  <si>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</si>
  <si>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</si>
  <si>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</si>
  <si>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</si>
  <si>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</si>
  <si>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</si>
  <si>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</si>
  <si>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</si>
  <si>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</si>
  <si>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</si>
  <si>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</si>
  <si>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</si>
  <si>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</si>
  <si>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</si>
  <si>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</si>
  <si>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</si>
  <si>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</si>
  <si>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</si>
  <si>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</si>
  <si>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</si>
  <si>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</si>
  <si>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</si>
  <si>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</si>
  <si>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</si>
  <si>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</si>
  <si>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</si>
  <si>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</si>
  <si>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</si>
  <si>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</si>
  <si>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</si>
  <si>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</si>
  <si>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</si>
  <si>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</si>
  <si>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</si>
  <si>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</si>
  <si>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</si>
  <si>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</si>
  <si>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</si>
  <si>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</si>
  <si>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</si>
  <si>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</si>
  <si>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</si>
  <si>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</si>
  <si>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</si>
  <si>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</si>
  <si>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</si>
  <si>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</si>
  <si>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</si>
  <si>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</si>
  <si>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</si>
  <si>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</si>
  <si>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</si>
  <si>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</si>
  <si>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</si>
  <si>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</si>
  <si>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</si>
  <si>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</si>
  <si>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</si>
  <si>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</si>
  <si>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</si>
  <si>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</si>
  <si>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</si>
  <si>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</si>
  <si>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</si>
  <si>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</si>
  <si>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</si>
  <si>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</si>
  <si>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</si>
  <si>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</si>
  <si>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</si>
  <si>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</si>
  <si>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</si>
  <si>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</si>
  <si>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</si>
  <si>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</si>
  <si>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</si>
  <si>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</si>
  <si>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</si>
  <si>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</si>
  <si>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</si>
  <si>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</si>
  <si>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</si>
  <si>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</si>
  <si>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</si>
  <si>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</si>
  <si>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</si>
  <si>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</si>
  <si>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</si>
  <si>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</si>
  <si>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</si>
  <si>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</si>
  <si>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</si>
  <si>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</si>
  <si>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</si>
  <si>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</si>
  <si>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</si>
  <si>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</si>
  <si>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</si>
  <si>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</si>
  <si>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</si>
  <si>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</si>
  <si>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</si>
  <si>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</si>
  <si>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</si>
  <si>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</si>
  <si>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</si>
  <si>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</si>
  <si>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</si>
  <si>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</si>
  <si>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</si>
  <si>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</si>
  <si>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</si>
  <si>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</si>
  <si>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</si>
  <si>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</si>
  <si>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</si>
  <si>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</si>
  <si>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</si>
  <si>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</si>
  <si>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</si>
  <si>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</si>
  <si>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</si>
  <si>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</si>
  <si>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</si>
  <si>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</si>
  <si>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</si>
  <si>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</si>
  <si>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</si>
  <si>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</si>
  <si>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</si>
  <si>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</si>
  <si>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</si>
  <si>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</si>
  <si>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</si>
  <si>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</si>
  <si>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</si>
  <si>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</si>
  <si>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</si>
  <si>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</si>
  <si>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</si>
  <si>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</si>
  <si>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</si>
  <si>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</si>
  <si>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</si>
  <si>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</si>
  <si>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</si>
  <si>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</si>
  <si>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</si>
  <si>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</si>
  <si>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</si>
  <si>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</si>
  <si>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</si>
  <si>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</si>
  <si>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</si>
  <si>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</si>
  <si>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</si>
  <si>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</si>
  <si>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</si>
  <si>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</si>
  <si>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</si>
  <si>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</si>
  <si>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</si>
  <si>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</si>
  <si>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</si>
  <si>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</si>
  <si>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</si>
  <si>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</si>
  <si>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</si>
  <si>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</si>
  <si>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</si>
  <si>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</si>
  <si>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</si>
  <si>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</si>
  <si>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</si>
  <si>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</si>
  <si>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</si>
  <si>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</si>
  <si>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</si>
  <si>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</si>
  <si>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</si>
  <si>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</si>
  <si>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</si>
  <si>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</si>
  <si>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</si>
  <si>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</si>
  <si>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</si>
  <si>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</si>
  <si>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</si>
  <si>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</si>
  <si>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</si>
  <si>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</si>
  <si>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</si>
  <si>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</si>
  <si>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</si>
  <si>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</si>
  <si>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</si>
  <si>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</si>
  <si>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</si>
  <si>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</si>
  <si>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</si>
  <si>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</si>
  <si>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</si>
  <si>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</si>
  <si>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</si>
  <si>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</si>
  <si>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</si>
  <si>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</si>
  <si>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</si>
  <si>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</si>
  <si>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</si>
  <si>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</si>
  <si>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</si>
  <si>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</si>
  <si>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</si>
  <si>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</si>
  <si>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</si>
  <si>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</si>
  <si>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</si>
  <si>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</si>
  <si>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</si>
  <si>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</si>
  <si>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</si>
  <si>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</si>
  <si>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</si>
  <si>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</si>
  <si>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</si>
  <si>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</si>
  <si>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</si>
  <si>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</si>
  <si>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</si>
  <si>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</si>
  <si>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</si>
  <si>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</si>
  <si>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</si>
  <si>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</si>
  <si>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</si>
  <si>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</si>
  <si>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</si>
  <si>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</si>
  <si>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</si>
  <si>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</si>
  <si>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</si>
  <si>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</si>
  <si>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</si>
  <si>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</si>
  <si>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</si>
  <si>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</si>
  <si>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</si>
  <si>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</si>
  <si>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</si>
  <si>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</si>
  <si>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</si>
  <si>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</si>
  <si>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</si>
  <si>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</si>
  <si>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</si>
  <si>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</si>
  <si>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</si>
  <si>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</si>
  <si>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</si>
  <si>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</si>
  <si>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</si>
  <si>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</si>
  <si>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</si>
  <si>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</si>
  <si>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</si>
  <si>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</si>
  <si>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</si>
  <si>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</si>
  <si>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</si>
  <si>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</si>
  <si>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</si>
  <si>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</si>
  <si>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</si>
  <si>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</si>
  <si>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</si>
  <si>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</si>
  <si>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</si>
  <si>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</si>
  <si>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</si>
  <si>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</si>
  <si>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</si>
  <si>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</si>
  <si>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</si>
  <si>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</si>
  <si>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</si>
  <si>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</si>
  <si>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</si>
  <si>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</si>
  <si>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</si>
  <si>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</si>
  <si>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</si>
  <si>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</si>
  <si>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</si>
  <si>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</si>
  <si>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</si>
  <si>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</si>
  <si>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</si>
  <si>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</si>
  <si>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</si>
  <si>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</si>
  <si>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</si>
  <si>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</si>
  <si>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</si>
  <si>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</si>
  <si>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</si>
  <si>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</si>
  <si>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</si>
  <si>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</si>
  <si>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</si>
  <si>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</si>
  <si>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</si>
  <si>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</si>
  <si>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</si>
  <si>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</si>
  <si>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</si>
  <si>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</si>
  <si>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</si>
  <si>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</si>
  <si>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</si>
  <si>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</si>
  <si>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</si>
  <si>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</si>
  <si>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</si>
  <si>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</si>
  <si>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</si>
  <si>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</si>
  <si>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</si>
  <si>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</si>
  <si>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</si>
  <si>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</si>
  <si>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</si>
  <si>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</si>
  <si>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</si>
  <si>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</si>
  <si>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</si>
  <si>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</si>
  <si>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</si>
  <si>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</si>
  <si>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</si>
  <si>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</si>
  <si>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</si>
  <si>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</si>
  <si>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</si>
  <si>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</si>
  <si>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</si>
  <si>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</si>
  <si>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</si>
  <si>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</si>
  <si>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</si>
  <si>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</si>
  <si>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</si>
  <si>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</si>
  <si>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</si>
  <si>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</si>
  <si>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</si>
  <si>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</si>
  <si>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</si>
  <si>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</si>
  <si>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</si>
  <si>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</si>
  <si>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</si>
  <si>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</si>
  <si>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</si>
  <si>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</si>
  <si>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</si>
  <si>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</si>
  <si>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</si>
  <si>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</si>
  <si>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</si>
  <si>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</si>
  <si>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</si>
  <si>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</si>
  <si>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</si>
  <si>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</si>
  <si>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</si>
  <si>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</si>
  <si>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</si>
  <si>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</si>
  <si>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</si>
  <si>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</si>
  <si>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</si>
  <si>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</si>
  <si>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</si>
  <si>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</si>
  <si>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</si>
  <si>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</si>
  <si>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</si>
  <si>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</si>
  <si>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</si>
  <si>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</si>
  <si>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</si>
  <si>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</si>
  <si>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</si>
  <si>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</si>
  <si>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</si>
  <si>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</si>
  <si>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</si>
  <si>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</si>
  <si>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</si>
  <si>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</si>
  <si>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</si>
  <si>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</si>
  <si>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</si>
  <si>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</si>
  <si>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</si>
  <si>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</si>
  <si>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</si>
  <si>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</si>
  <si>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</si>
  <si>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</si>
  <si>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</si>
  <si>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</si>
  <si>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</si>
  <si>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</si>
  <si>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</si>
  <si>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</si>
  <si>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</si>
  <si>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</si>
  <si>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</si>
  <si>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</si>
  <si>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</si>
  <si>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</si>
  <si>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</si>
  <si>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</si>
  <si>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</si>
  <si>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</si>
  <si>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</si>
  <si>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</si>
  <si>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</si>
  <si>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</si>
  <si>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</si>
  <si>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</si>
  <si>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</si>
  <si>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</si>
  <si>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</si>
  <si>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</si>
  <si>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</si>
  <si>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</si>
  <si>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</si>
  <si>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</si>
  <si>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</si>
  <si>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</si>
  <si>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</si>
  <si>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</si>
  <si>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</si>
  <si>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</si>
  <si>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</si>
  <si>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</si>
  <si>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</si>
  <si>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</si>
  <si>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</si>
  <si>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</si>
  <si>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</si>
  <si>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</si>
  <si>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</si>
  <si>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</si>
  <si>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</si>
  <si>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</si>
  <si>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</si>
  <si>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</si>
  <si>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</si>
  <si>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</si>
  <si>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</si>
  <si>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</si>
  <si>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</si>
  <si>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</si>
  <si>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</si>
  <si>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</si>
  <si>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</si>
  <si>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</si>
  <si>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</si>
  <si>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</si>
  <si>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</si>
  <si>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</si>
  <si>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</si>
  <si>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</si>
  <si>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</si>
  <si>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</si>
  <si>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</si>
  <si>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</si>
  <si>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</si>
  <si>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</si>
  <si>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</si>
  <si>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</si>
  <si>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</si>
  <si>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</si>
  <si>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</si>
  <si>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</si>
  <si>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</si>
  <si>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</si>
  <si>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</si>
  <si>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</si>
  <si>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</si>
  <si>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</si>
  <si>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</si>
  <si>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</si>
  <si>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</si>
  <si>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</si>
  <si>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</si>
  <si>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</si>
  <si>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</si>
  <si>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</si>
  <si>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</si>
  <si>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</si>
  <si>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</si>
  <si>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</si>
  <si>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</si>
  <si>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</si>
  <si>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</si>
  <si>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</si>
  <si>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</si>
  <si>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</si>
  <si>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</si>
  <si>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</si>
  <si>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</si>
  <si>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</si>
  <si>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</si>
  <si>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</si>
  <si>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</si>
  <si>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</si>
  <si>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</si>
  <si>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</si>
  <si>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</si>
  <si>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</si>
  <si>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</si>
  <si>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</si>
  <si>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</si>
  <si>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</si>
  <si>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</si>
  <si>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</si>
  <si>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</si>
  <si>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</si>
  <si>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</si>
  <si>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</si>
  <si>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</si>
  <si>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</si>
  <si>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</si>
  <si>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</si>
  <si>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</si>
  <si>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</si>
  <si>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</si>
  <si>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</si>
  <si>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</si>
  <si>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</si>
  <si>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</si>
  <si>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</si>
  <si>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</si>
  <si>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</si>
  <si>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</si>
  <si>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</si>
  <si>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</si>
  <si>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</si>
  <si>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</si>
  <si>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</si>
  <si>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</si>
  <si>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</si>
  <si>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</si>
  <si>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</si>
  <si>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</si>
  <si>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</si>
  <si>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</si>
  <si>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</si>
  <si>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</si>
  <si>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</si>
  <si>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</si>
  <si>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</si>
  <si>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</si>
  <si>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</si>
  <si>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</si>
  <si>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</si>
  <si>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</si>
  <si>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</si>
  <si>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</si>
  <si>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</si>
  <si>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</si>
  <si>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</si>
  <si>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</si>
  <si>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</si>
  <si>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</si>
  <si>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</si>
  <si>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</si>
  <si>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</si>
  <si>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</si>
  <si>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</si>
  <si>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</si>
  <si>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</si>
  <si>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</si>
  <si>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</si>
  <si>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</si>
  <si>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</si>
  <si>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</si>
  <si>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</si>
  <si>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</si>
  <si>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</si>
  <si>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</si>
  <si>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</si>
  <si>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</si>
  <si>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</si>
  <si>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</si>
  <si>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</si>
  <si>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</si>
  <si>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</si>
  <si>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</si>
  <si>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</si>
  <si>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</si>
  <si>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</si>
  <si>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</si>
  <si>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</si>
  <si>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</si>
  <si>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</si>
  <si>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</si>
  <si>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</si>
  <si>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</si>
  <si>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</si>
  <si>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</si>
  <si>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</si>
  <si>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</si>
  <si>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</si>
  <si>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</si>
  <si>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</si>
  <si>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</si>
  <si>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</si>
  <si>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</si>
  <si>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</si>
  <si>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</si>
  <si>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</si>
  <si>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</si>
  <si>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</si>
  <si>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</si>
  <si>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</si>
  <si>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</si>
  <si>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</si>
  <si>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</si>
  <si>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</si>
  <si>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</si>
  <si>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</si>
  <si>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</si>
  <si>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</si>
  <si>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</si>
  <si>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</si>
  <si>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</si>
  <si>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</si>
  <si>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</si>
  <si>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</si>
  <si>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</si>
  <si>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</si>
  <si>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</si>
  <si>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</si>
  <si>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</si>
  <si>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</si>
  <si>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</si>
  <si>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</si>
  <si>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</si>
  <si>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</si>
  <si>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</si>
  <si>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</si>
  <si>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</si>
  <si>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</si>
  <si>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</si>
  <si>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</si>
  <si>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</si>
  <si>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</si>
  <si>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</si>
  <si>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</si>
  <si>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</si>
  <si>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</si>
  <si>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</si>
  <si>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</si>
  <si>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</si>
  <si>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</si>
  <si>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</si>
  <si>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</si>
  <si>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</si>
  <si>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</si>
  <si>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</si>
  <si>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</si>
  <si>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</si>
  <si>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</si>
  <si>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</si>
  <si>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</si>
  <si>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</si>
  <si>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</si>
  <si>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</si>
  <si>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</si>
  <si>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</si>
  <si>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</si>
  <si>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</si>
  <si>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</si>
  <si>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</si>
  <si>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</si>
  <si>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</si>
  <si>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</si>
  <si>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</si>
  <si>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</si>
  <si>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</si>
  <si>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</si>
  <si>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</si>
  <si>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</si>
  <si>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</si>
  <si>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</si>
  <si>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</si>
  <si>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</si>
  <si>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</si>
  <si>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</si>
  <si>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</si>
  <si>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</si>
  <si>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</si>
  <si>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</si>
  <si>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</si>
  <si>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</si>
  <si>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</si>
  <si>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</si>
  <si>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</si>
  <si>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</si>
  <si>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</si>
  <si>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</si>
  <si>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</si>
  <si>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</si>
  <si>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</si>
  <si>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</si>
  <si>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</si>
  <si>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</si>
  <si>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</si>
  <si>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</si>
  <si>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</si>
  <si>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</si>
  <si>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</si>
  <si>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</si>
  <si>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</si>
  <si>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</si>
  <si>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</si>
  <si>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</si>
  <si>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</si>
  <si>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</si>
  <si>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</si>
  <si>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</si>
  <si>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</si>
  <si>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</si>
  <si>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</si>
  <si>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</si>
  <si>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</si>
  <si>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</si>
  <si>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</si>
  <si>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</si>
  <si>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</si>
  <si>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</si>
  <si>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</si>
  <si>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</si>
  <si>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</si>
  <si>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</si>
  <si>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</si>
  <si>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</si>
  <si>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</si>
  <si>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</si>
  <si>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</si>
  <si>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</si>
  <si>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</si>
  <si>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</si>
  <si>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</si>
  <si>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</si>
  <si>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</si>
  <si>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</si>
  <si>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</si>
  <si>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</si>
  <si>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</si>
  <si>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</si>
  <si>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</si>
  <si>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</si>
  <si>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</si>
  <si>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</si>
  <si>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</si>
  <si>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</si>
  <si>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</si>
  <si>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</si>
  <si>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</si>
  <si>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</si>
  <si>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</si>
  <si>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</si>
  <si>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</si>
  <si>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</si>
  <si>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</si>
  <si>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</si>
  <si>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</si>
  <si>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</si>
  <si>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</si>
  <si>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</si>
  <si>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</si>
  <si>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</si>
  <si>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</si>
  <si>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</si>
  <si>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</si>
  <si>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</si>
  <si>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</si>
  <si>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</si>
  <si>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</si>
  <si>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</si>
  <si>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</si>
  <si>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</si>
  <si>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</si>
  <si>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</si>
  <si>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</si>
  <si>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</si>
  <si>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</si>
  <si>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</si>
  <si>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</si>
  <si>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</si>
  <si>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</si>
  <si>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</si>
  <si>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</si>
  <si>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</si>
  <si>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</si>
  <si>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</si>
  <si>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</si>
  <si>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</si>
  <si>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</si>
  <si>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</si>
  <si>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</si>
  <si>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</si>
  <si>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</si>
  <si>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</si>
  <si>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</si>
  <si>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</si>
  <si>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</si>
  <si>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</si>
  <si>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</si>
  <si>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</si>
  <si>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</si>
  <si>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</si>
  <si>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</si>
  <si>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</si>
  <si>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</si>
  <si>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</si>
  <si>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</si>
  <si>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</si>
  <si>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</si>
  <si>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</si>
  <si>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</si>
  <si>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</si>
  <si>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</si>
  <si>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</si>
  <si>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</si>
  <si>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</si>
  <si>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</si>
  <si>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</si>
  <si>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</si>
  <si>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</si>
  <si>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</si>
  <si>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</si>
  <si>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</si>
  <si>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</si>
  <si>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</si>
  <si>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</si>
  <si>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</si>
  <si>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</si>
  <si>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</si>
  <si>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</si>
  <si>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</si>
  <si>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</si>
  <si>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</si>
  <si>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</si>
  <si>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</si>
  <si>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</si>
  <si>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</si>
  <si>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</si>
  <si>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</si>
  <si>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</si>
  <si>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</si>
  <si>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</si>
  <si>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</si>
  <si>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</si>
  <si>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</si>
  <si>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</si>
  <si>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</si>
  <si>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</si>
  <si>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</si>
  <si>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</si>
  <si>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</si>
  <si>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</si>
  <si>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</si>
  <si>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</si>
  <si>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</si>
  <si>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</si>
  <si>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</si>
  <si>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</si>
  <si>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</si>
  <si>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</si>
  <si>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</si>
  <si>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</si>
  <si>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</si>
  <si>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</si>
  <si>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</si>
  <si>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</si>
  <si>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</si>
  <si>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</si>
  <si>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</si>
  <si>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</si>
  <si>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</si>
  <si>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</si>
  <si>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</si>
  <si>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</si>
  <si>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</si>
  <si>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</si>
  <si>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</si>
  <si>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</si>
  <si>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</si>
  <si>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</si>
  <si>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</si>
  <si>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</si>
  <si>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</si>
  <si>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</si>
  <si>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</si>
  <si>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</si>
  <si>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</si>
  <si>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</si>
  <si>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</si>
  <si>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</si>
  <si>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</si>
  <si>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</si>
  <si>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</si>
  <si>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</si>
  <si>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</si>
  <si>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</si>
  <si>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</si>
  <si>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</si>
  <si>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</si>
  <si>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</si>
  <si>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</si>
  <si>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</si>
  <si>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</si>
  <si>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</si>
  <si>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</si>
  <si>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</si>
  <si>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</si>
  <si>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</si>
  <si>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</si>
  <si>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</si>
  <si>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</si>
  <si>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</si>
  <si>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</si>
  <si>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</si>
  <si>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</si>
  <si>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</si>
  <si>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</si>
  <si>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</si>
  <si>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</si>
  <si>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</si>
  <si>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</si>
  <si>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</si>
  <si>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</si>
  <si>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</si>
  <si>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</si>
  <si>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</si>
  <si>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</si>
  <si>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</si>
  <si>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</si>
  <si>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</si>
  <si>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</si>
  <si>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</si>
  <si>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</si>
  <si>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</si>
  <si>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</si>
  <si>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</si>
  <si>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</si>
  <si>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</si>
  <si>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</si>
  <si>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</si>
  <si>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</si>
  <si>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</si>
  <si>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</si>
  <si>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</si>
  <si>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</si>
  <si>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</si>
  <si>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</si>
  <si>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</si>
  <si>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</si>
  <si>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</si>
  <si>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</si>
  <si>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</si>
  <si>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</si>
  <si>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</si>
  <si>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</si>
  <si>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</si>
  <si>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</si>
  <si>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</si>
  <si>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</si>
  <si>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</si>
  <si>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</si>
  <si>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</si>
  <si>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</si>
  <si>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</si>
  <si>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</si>
  <si>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</si>
  <si>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</si>
  <si>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</si>
  <si>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</si>
  <si>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</si>
  <si>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</si>
  <si>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</si>
  <si>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</si>
  <si>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</si>
  <si>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</si>
  <si>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</si>
  <si>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</si>
  <si>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</si>
  <si>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</si>
  <si>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</si>
  <si>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</si>
  <si>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</si>
  <si>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</si>
  <si>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</si>
  <si>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</si>
  <si>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</si>
  <si>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</si>
  <si>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</si>
  <si>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</si>
  <si>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</si>
  <si>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</si>
  <si>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</si>
  <si>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</si>
  <si>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</si>
  <si>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</si>
  <si>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</si>
  <si>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</si>
  <si>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</si>
  <si>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</si>
  <si>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</si>
  <si>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</si>
  <si>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</si>
  <si>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</si>
  <si>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</si>
  <si>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</si>
  <si>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</si>
  <si>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</si>
  <si>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</si>
  <si>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</si>
  <si>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</si>
  <si>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</si>
  <si>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</si>
  <si>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</si>
  <si>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</si>
  <si>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</si>
  <si>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</si>
  <si>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</si>
  <si>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</si>
  <si>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</si>
  <si>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</si>
  <si>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</si>
  <si>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</si>
  <si>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</si>
  <si>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</si>
  <si>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</si>
  <si>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</si>
  <si>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</si>
  <si>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</si>
  <si>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</si>
  <si>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</si>
  <si>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</si>
  <si>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</si>
  <si>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</si>
  <si>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</si>
  <si>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</si>
  <si>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</si>
  <si>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</si>
  <si>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</si>
  <si>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</si>
  <si>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</si>
  <si>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</si>
  <si>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</si>
  <si>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</si>
  <si>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</si>
  <si>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</si>
  <si>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</si>
  <si>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</si>
  <si>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</si>
  <si>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</si>
  <si>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</si>
  <si>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</si>
  <si>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</si>
  <si>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</si>
  <si>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</si>
  <si>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</si>
  <si>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</si>
  <si>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</si>
  <si>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</si>
  <si>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</si>
  <si>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</si>
  <si>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</si>
  <si>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</si>
  <si>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</si>
  <si>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</si>
  <si>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</si>
  <si>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</si>
  <si>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</si>
  <si>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</si>
  <si>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</si>
  <si>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</si>
  <si>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</si>
  <si>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</si>
  <si>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</si>
  <si>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</si>
  <si>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</si>
  <si>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</si>
  <si>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</si>
  <si>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</si>
  <si>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</si>
  <si>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</si>
  <si>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</si>
  <si>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</si>
  <si>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</si>
  <si>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</si>
  <si>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</si>
  <si>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</si>
  <si>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</si>
  <si>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</si>
  <si>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</si>
  <si>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</si>
  <si>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</si>
  <si>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</si>
  <si>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</si>
  <si>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</si>
  <si>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</si>
  <si>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</si>
  <si>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</si>
  <si>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</si>
  <si>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</si>
  <si>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</si>
  <si>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</si>
  <si>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</si>
  <si>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</si>
  <si>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</si>
  <si>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</si>
  <si>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</si>
  <si>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</si>
  <si>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</si>
  <si>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</si>
  <si>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</si>
  <si>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</si>
  <si>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</si>
  <si>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</si>
  <si>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</si>
  <si>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</si>
  <si>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</si>
  <si>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</si>
  <si>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</si>
  <si>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</si>
  <si>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</si>
  <si>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</si>
  <si>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</si>
  <si>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</si>
  <si>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</si>
  <si>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</si>
  <si>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</si>
  <si>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</si>
  <si>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</si>
  <si>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</si>
  <si>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</si>
  <si>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</si>
  <si>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</si>
  <si>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</si>
  <si>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</si>
  <si>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</si>
  <si>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</si>
  <si>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</si>
  <si>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</si>
  <si>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</si>
  <si>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</si>
  <si>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</si>
  <si>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</si>
  <si>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</si>
  <si>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</si>
  <si>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</si>
  <si>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</si>
  <si>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</si>
  <si>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</si>
  <si>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</si>
  <si>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</si>
  <si>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</si>
  <si>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</si>
  <si>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</si>
  <si>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</si>
  <si>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</si>
  <si>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</si>
  <si>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</si>
  <si>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</si>
  <si>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</si>
  <si>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</si>
  <si>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</si>
  <si>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</si>
  <si>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</si>
  <si>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</si>
  <si>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</si>
  <si>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</si>
  <si>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</si>
  <si>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</si>
  <si>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</si>
  <si>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</si>
  <si>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</si>
  <si>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</si>
  <si>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</si>
  <si>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</si>
  <si>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</si>
  <si>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</si>
  <si>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</si>
  <si>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</si>
  <si>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</si>
  <si>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</si>
  <si>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</si>
  <si>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</si>
  <si>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</si>
  <si>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</si>
  <si>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</si>
  <si>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</si>
  <si>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</si>
  <si>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</si>
  <si>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</si>
  <si>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</si>
  <si>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</si>
  <si>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</si>
  <si>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</si>
  <si>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</si>
  <si>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</si>
  <si>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</si>
  <si>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</si>
  <si>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</si>
  <si>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</si>
  <si>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</si>
  <si>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</si>
  <si>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</si>
  <si>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</si>
  <si>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</si>
  <si>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</si>
  <si>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</si>
  <si>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</si>
  <si>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</si>
  <si>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</si>
  <si>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</si>
  <si>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</si>
  <si>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</si>
  <si>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</si>
  <si>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</si>
  <si>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</si>
  <si>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</si>
  <si>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</si>
  <si>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</si>
  <si>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</si>
  <si>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</si>
  <si>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</si>
  <si>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</si>
  <si>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</si>
  <si>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</si>
  <si>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</si>
  <si>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</si>
  <si>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</si>
  <si>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</si>
  <si>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</si>
  <si>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</si>
  <si>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</si>
  <si>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</si>
  <si>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</si>
  <si>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</si>
  <si>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</si>
  <si>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</si>
  <si>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</si>
  <si>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</si>
  <si>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</si>
  <si>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</si>
  <si>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</si>
  <si>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</si>
  <si>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</si>
  <si>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</si>
  <si>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</si>
  <si>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</si>
  <si>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</si>
  <si>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</si>
  <si>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</si>
  <si>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</si>
  <si>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</si>
  <si>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</si>
  <si>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</si>
  <si>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</si>
  <si>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</si>
  <si>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</si>
  <si>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</si>
  <si>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</si>
  <si>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</si>
  <si>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</si>
  <si>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</si>
  <si>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</si>
  <si>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</si>
  <si>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</si>
  <si>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</si>
  <si>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</si>
  <si>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</si>
  <si>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</si>
  <si>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</si>
  <si>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</si>
  <si>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</si>
  <si>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</si>
  <si>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</si>
  <si>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</si>
  <si>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</si>
  <si>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</si>
  <si>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</si>
  <si>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</si>
  <si>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</si>
  <si>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</si>
  <si>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</si>
  <si>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</si>
  <si>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</si>
  <si>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</si>
  <si>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</si>
  <si>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</si>
  <si>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</si>
  <si>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</si>
  <si>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</si>
  <si>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</si>
  <si>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</si>
  <si>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</si>
  <si>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</si>
  <si>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</si>
  <si>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</si>
  <si>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</si>
  <si>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</si>
  <si>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</si>
  <si>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</si>
  <si>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</si>
  <si>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</si>
  <si>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</si>
  <si>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</si>
  <si>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</si>
  <si>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</si>
  <si>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</si>
  <si>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</si>
  <si>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</si>
  <si>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</si>
  <si>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</si>
  <si>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</si>
  <si>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</si>
  <si>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</si>
  <si>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</si>
  <si>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</si>
  <si>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</si>
  <si>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</si>
  <si>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</si>
  <si>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</si>
  <si>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</si>
  <si>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</si>
  <si>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</si>
  <si>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</si>
  <si>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</si>
  <si>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</si>
  <si>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</si>
  <si>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</si>
  <si>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</si>
  <si>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</si>
  <si>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</si>
  <si>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</si>
  <si>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</si>
  <si>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</si>
  <si>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</si>
  <si>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</si>
  <si>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</si>
  <si>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</si>
  <si>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</si>
  <si>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</si>
  <si>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</si>
  <si>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</si>
  <si>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</si>
  <si>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</si>
  <si>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</si>
  <si>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</si>
  <si>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</si>
  <si>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</si>
  <si>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</si>
  <si>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</si>
  <si>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</si>
  <si>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</si>
  <si>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</si>
  <si>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</si>
  <si>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</si>
  <si>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</si>
  <si>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</si>
  <si>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</si>
  <si>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</si>
  <si>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</si>
  <si>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</si>
  <si>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</si>
  <si>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</si>
  <si>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</si>
  <si>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</si>
  <si>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</si>
  <si>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</si>
  <si>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</si>
  <si>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</si>
  <si>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</si>
  <si>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</si>
  <si>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</si>
  <si>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</si>
  <si>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</si>
  <si>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</si>
  <si>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</si>
  <si>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</si>
  <si>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</si>
  <si>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</si>
  <si>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</si>
  <si>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</si>
  <si>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</si>
  <si>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</si>
  <si>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</si>
  <si>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</si>
  <si>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</si>
  <si>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</si>
  <si>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</si>
  <si>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</si>
  <si>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</si>
  <si>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</si>
  <si>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</si>
  <si>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</si>
  <si>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</si>
  <si>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</si>
  <si>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</si>
  <si>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</si>
  <si>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</si>
  <si>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</si>
  <si>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</si>
  <si>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</si>
  <si>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</si>
  <si>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</si>
  <si>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</si>
  <si>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</si>
  <si>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</si>
  <si>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</si>
  <si>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</si>
  <si>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</si>
  <si>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</si>
  <si>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</si>
  <si>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</si>
  <si>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</si>
  <si>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</si>
  <si>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</si>
  <si>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</si>
  <si>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</si>
  <si>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</si>
  <si>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</si>
  <si>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</si>
  <si>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</si>
  <si>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</si>
  <si>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</si>
  <si>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</si>
  <si>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</si>
  <si>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</si>
  <si>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</si>
  <si>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</si>
  <si>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</si>
  <si>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</si>
  <si>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</si>
  <si>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</si>
  <si>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</si>
  <si>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</si>
  <si>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</si>
  <si>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</si>
  <si>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</si>
  <si>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</si>
  <si>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</si>
  <si>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</si>
  <si>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</si>
  <si>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</si>
  <si>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</si>
  <si>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</si>
  <si>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</si>
  <si>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</si>
  <si>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</si>
  <si>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</si>
  <si>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</si>
  <si>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</si>
  <si>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</si>
  <si>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</si>
  <si>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</si>
  <si>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</si>
  <si>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</si>
  <si>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</si>
  <si>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</si>
  <si>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</si>
  <si>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</si>
  <si>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</si>
  <si>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</si>
  <si>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</si>
  <si>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</si>
  <si>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</si>
  <si>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</si>
  <si>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</si>
  <si>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</si>
  <si>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</si>
  <si>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</si>
  <si>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</si>
  <si>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</si>
  <si>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</si>
  <si>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</si>
  <si>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</si>
  <si>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</si>
  <si>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</si>
  <si>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</si>
  <si>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</si>
  <si>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</si>
  <si>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</si>
  <si>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</si>
  <si>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</si>
  <si>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</si>
  <si>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</si>
  <si>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</si>
  <si>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</si>
  <si>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</si>
  <si>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</si>
  <si>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</si>
  <si>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</si>
  <si>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</si>
  <si>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</si>
  <si>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</si>
  <si>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</si>
  <si>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</si>
  <si>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</si>
  <si>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</si>
  <si>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</si>
  <si>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</si>
  <si>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</si>
  <si>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</si>
  <si>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</si>
  <si>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</si>
  <si>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</si>
  <si>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</si>
  <si>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</si>
  <si>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</si>
  <si>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</si>
  <si>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</si>
  <si>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</si>
  <si>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</si>
  <si>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</si>
  <si>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</si>
  <si>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</si>
  <si>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</si>
  <si>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</si>
  <si>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</si>
  <si>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</si>
  <si>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</si>
  <si>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</si>
  <si>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</si>
  <si>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</si>
  <si>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</si>
  <si>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</si>
  <si>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</si>
  <si>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</si>
  <si>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</si>
  <si>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</si>
  <si>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</si>
  <si>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</si>
  <si>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</si>
  <si>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</si>
  <si>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</si>
  <si>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</si>
  <si>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</si>
  <si>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</si>
  <si>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</si>
  <si>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</si>
  <si>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</si>
  <si>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</si>
  <si>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</si>
  <si>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</si>
  <si>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</si>
  <si>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</si>
  <si>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</si>
  <si>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</si>
  <si>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</si>
  <si>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</si>
  <si>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</si>
  <si>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</si>
  <si>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</si>
  <si>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</si>
  <si>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</si>
  <si>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</si>
  <si>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</si>
  <si>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</si>
  <si>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</si>
  <si>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</si>
  <si>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</si>
  <si>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</si>
  <si>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</si>
  <si>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</si>
  <si>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</si>
  <si>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</si>
  <si>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</si>
  <si>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</si>
  <si>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</si>
  <si>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</si>
  <si>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</si>
  <si>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</si>
  <si>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</si>
  <si>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</si>
  <si>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</si>
  <si>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</si>
  <si>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</si>
  <si>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</si>
  <si>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</si>
  <si>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</si>
  <si>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</si>
  <si>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</si>
  <si>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</si>
  <si>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</si>
  <si>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</si>
  <si>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</si>
  <si>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</si>
  <si>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</si>
  <si>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</si>
  <si>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</si>
  <si>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</si>
  <si>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</si>
  <si>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</si>
  <si>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</si>
  <si>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</si>
  <si>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</si>
  <si>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</si>
  <si>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</si>
  <si>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</si>
  <si>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</si>
  <si>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</si>
  <si>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</si>
  <si>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</si>
  <si>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</si>
  <si>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</si>
  <si>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</si>
  <si>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</si>
  <si>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</si>
  <si>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</si>
  <si>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</si>
  <si>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</si>
  <si>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</si>
  <si>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</si>
  <si>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</si>
  <si>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</si>
  <si>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</si>
  <si>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</si>
  <si>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</si>
  <si>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</si>
  <si>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</si>
  <si>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</si>
  <si>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</si>
  <si>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</si>
  <si>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</si>
  <si>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</si>
  <si>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</si>
  <si>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</si>
  <si>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</si>
  <si>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</si>
  <si>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</si>
  <si>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</si>
  <si>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</si>
  <si>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</si>
  <si>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</si>
  <si>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</si>
  <si>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</si>
  <si>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</si>
  <si>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</si>
  <si>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</si>
  <si>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</si>
  <si>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</si>
  <si>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</si>
  <si>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</si>
  <si>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</si>
  <si>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</si>
  <si>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</si>
  <si>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</si>
  <si>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</si>
  <si>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</si>
  <si>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</si>
  <si>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</si>
  <si>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</si>
  <si>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</si>
  <si>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</si>
  <si>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</si>
  <si>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</si>
  <si>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</si>
  <si>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</si>
  <si>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</si>
  <si>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</si>
  <si>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</si>
  <si>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</si>
  <si>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</si>
  <si>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</si>
  <si>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</si>
  <si>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</si>
  <si>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</si>
  <si>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</si>
  <si>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</si>
  <si>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</si>
  <si>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</si>
  <si>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</si>
  <si>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</si>
  <si>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</si>
  <si>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</si>
  <si>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</si>
  <si>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</si>
  <si>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</si>
  <si>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</si>
  <si>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</si>
  <si>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</si>
  <si>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</si>
  <si>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</si>
  <si>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</si>
  <si>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</si>
  <si>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</si>
  <si>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</si>
  <si>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</si>
  <si>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</si>
  <si>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</si>
  <si>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</si>
  <si>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</si>
  <si>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</si>
  <si>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</si>
  <si>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</si>
  <si>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</si>
  <si>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</si>
  <si>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</si>
  <si>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</si>
  <si>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</si>
  <si>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</si>
  <si>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</si>
  <si>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</si>
  <si>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</si>
  <si>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</si>
  <si>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</si>
  <si>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</si>
  <si>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</si>
  <si>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</si>
  <si>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</si>
  <si>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</si>
  <si>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</si>
  <si>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</si>
  <si>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</si>
  <si>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</si>
  <si>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</si>
  <si>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</si>
  <si>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</si>
  <si>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</si>
  <si>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</si>
  <si>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</si>
  <si>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</si>
  <si>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</si>
  <si>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</si>
  <si>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</si>
  <si>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</si>
  <si>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</si>
  <si>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</si>
  <si>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</si>
  <si>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</si>
  <si>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</si>
  <si>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</si>
  <si>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</si>
  <si>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</si>
  <si>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</si>
  <si>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</si>
  <si>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</si>
  <si>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</si>
  <si>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</si>
  <si>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</si>
  <si>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</si>
  <si>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</si>
  <si>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</si>
  <si>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</si>
  <si>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</si>
  <si>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</si>
  <si>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</si>
  <si>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</si>
  <si>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</si>
  <si>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</si>
  <si>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</si>
  <si>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</si>
  <si>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</si>
  <si>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</si>
  <si>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</si>
  <si>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</si>
  <si>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</si>
  <si>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</si>
  <si>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</si>
  <si>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</si>
  <si>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</si>
  <si>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</si>
  <si>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</si>
  <si>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</si>
  <si>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</si>
  <si>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</si>
  <si>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</si>
  <si>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</si>
  <si>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</si>
  <si>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</si>
  <si>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</si>
  <si>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</si>
  <si>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</si>
  <si>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</si>
  <si>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</si>
  <si>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</si>
  <si>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</si>
  <si>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</si>
  <si>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</si>
  <si>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</si>
  <si>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</si>
  <si>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</si>
  <si>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</si>
  <si>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</si>
  <si>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</si>
  <si>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</si>
  <si>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</si>
  <si>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</si>
  <si>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</si>
  <si>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</si>
  <si>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</si>
  <si>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</si>
  <si>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</si>
  <si>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</si>
  <si>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</si>
  <si>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</si>
  <si>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</si>
  <si>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</si>
  <si>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</si>
  <si>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</si>
  <si>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</si>
  <si>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</si>
  <si>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</si>
  <si>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</si>
  <si>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</si>
  <si>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</si>
  <si>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</si>
  <si>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</si>
  <si>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</si>
  <si>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</si>
  <si>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</si>
  <si>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</si>
  <si>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</si>
  <si>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</si>
  <si>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</si>
  <si>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</si>
  <si>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</si>
  <si>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</si>
  <si>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</si>
  <si>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</si>
  <si>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</si>
  <si>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</si>
  <si>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</si>
  <si>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</si>
  <si>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</si>
  <si>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</si>
  <si>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</si>
  <si>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</si>
  <si>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</si>
  <si>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</si>
  <si>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</si>
  <si>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</si>
  <si>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</si>
  <si>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</si>
  <si>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</si>
  <si>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</si>
  <si>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</si>
  <si>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</si>
  <si>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</si>
  <si>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</si>
  <si>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</si>
  <si>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</si>
  <si>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</si>
  <si>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</si>
  <si>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</si>
  <si>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</si>
  <si>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</si>
  <si>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</si>
  <si>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</si>
  <si>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</si>
  <si>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</si>
  <si>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</si>
  <si>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</si>
  <si>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</si>
  <si>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</si>
  <si>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</si>
  <si>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</si>
  <si>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</si>
  <si>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</si>
  <si>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</si>
  <si>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</si>
  <si>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</si>
  <si>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</si>
  <si>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</si>
  <si>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</si>
  <si>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</si>
  <si>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</si>
  <si>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</si>
  <si>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</si>
  <si>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</si>
  <si>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</si>
  <si>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</si>
  <si>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</si>
  <si>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</si>
  <si>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</si>
  <si>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</si>
  <si>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</si>
  <si>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</si>
  <si>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</si>
  <si>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</si>
  <si>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</si>
  <si>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</si>
  <si>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</si>
  <si>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</si>
  <si>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</si>
  <si>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</si>
  <si>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</si>
  <si>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</si>
  <si>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</si>
  <si>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</si>
  <si>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</si>
  <si>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</si>
  <si>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</si>
  <si>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</si>
  <si>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</si>
  <si>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</si>
  <si>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</si>
  <si>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</si>
  <si>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</si>
  <si>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</si>
  <si>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</si>
  <si>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</si>
  <si>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</si>
  <si>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</si>
  <si>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</si>
  <si>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</si>
  <si>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</si>
  <si>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</si>
  <si>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</si>
  <si>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</si>
  <si>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</si>
  <si>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</si>
  <si>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</si>
  <si>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</si>
  <si>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</si>
  <si>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</si>
  <si>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</si>
  <si>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</si>
  <si>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</si>
  <si>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</si>
  <si>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</si>
  <si>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</si>
  <si>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</si>
  <si>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</si>
  <si>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</si>
  <si>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</si>
  <si>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</si>
  <si>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</si>
  <si>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</si>
  <si>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</si>
  <si>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</si>
  <si>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</si>
  <si>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</si>
  <si>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</si>
  <si>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</si>
  <si>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</si>
  <si>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</si>
  <si>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</si>
  <si>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</si>
  <si>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</si>
  <si>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</si>
  <si>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</si>
  <si>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</si>
  <si>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</si>
  <si>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</si>
  <si>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</si>
  <si>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</si>
  <si>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</si>
  <si>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</si>
  <si>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</si>
  <si>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</si>
  <si>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</si>
  <si>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</si>
  <si>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</si>
  <si>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</si>
  <si>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</si>
  <si>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</si>
  <si>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</si>
  <si>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</si>
  <si>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</si>
  <si>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</si>
  <si>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</si>
  <si>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</si>
  <si>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</si>
  <si>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</si>
  <si>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</si>
  <si>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</si>
  <si>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</si>
  <si>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</si>
  <si>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</si>
  <si>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</si>
  <si>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</si>
  <si>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</si>
  <si>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</si>
  <si>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</si>
  <si>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</si>
  <si>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</si>
  <si>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</si>
  <si>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</si>
  <si>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</si>
  <si>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</si>
  <si>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</si>
  <si>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</si>
  <si>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</si>
  <si>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</si>
  <si>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</si>
  <si>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</si>
  <si>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</si>
  <si>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</si>
  <si>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</si>
  <si>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</si>
  <si>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</si>
  <si>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</si>
  <si>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</si>
  <si>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</si>
  <si>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</si>
  <si>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</si>
  <si>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</si>
  <si>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</si>
  <si>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</si>
  <si>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</si>
  <si>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</si>
  <si>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</si>
  <si>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</si>
  <si>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</si>
  <si>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</si>
  <si>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</si>
  <si>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</si>
  <si>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</si>
  <si>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</si>
  <si>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</si>
  <si>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</si>
  <si>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</si>
  <si>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</si>
  <si>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</si>
  <si>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</si>
  <si>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</si>
  <si>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</si>
  <si>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</si>
  <si>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</si>
  <si>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</si>
  <si>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</si>
  <si>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</si>
  <si>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</si>
  <si>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</si>
  <si>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</si>
  <si>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</si>
  <si>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</si>
  <si>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</si>
  <si>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</si>
  <si>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</si>
  <si>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</si>
  <si>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</si>
  <si>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</si>
  <si>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</si>
  <si>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</si>
  <si>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</si>
  <si>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</si>
  <si>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</si>
  <si>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</si>
  <si>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</si>
  <si>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</si>
  <si>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</si>
  <si>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</si>
  <si>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</si>
  <si>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</si>
  <si>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</si>
  <si>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</si>
  <si>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</si>
  <si>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</si>
  <si>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</si>
  <si>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</si>
  <si>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</si>
  <si>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</si>
  <si>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</si>
  <si>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</si>
  <si>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</si>
  <si>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</si>
  <si>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</si>
  <si>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</si>
  <si>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</si>
  <si>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</si>
  <si>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</si>
  <si>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</si>
  <si>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</si>
  <si>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</si>
  <si>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</si>
  <si>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</si>
  <si>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</si>
  <si>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</si>
  <si>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</si>
  <si>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</si>
  <si>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</si>
  <si>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</si>
  <si>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</si>
  <si>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</si>
  <si>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</si>
  <si>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</si>
  <si>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</si>
  <si>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</si>
  <si>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</si>
  <si>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</si>
  <si>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</si>
  <si>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</si>
  <si>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</si>
  <si>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</si>
  <si>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</si>
  <si>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</si>
  <si>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</si>
  <si>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</si>
  <si>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</si>
  <si>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</si>
  <si>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</si>
  <si>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</si>
  <si>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</si>
  <si>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</si>
  <si>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</si>
  <si>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</si>
  <si>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</si>
  <si>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</si>
  <si>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</si>
  <si>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</si>
  <si>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</si>
  <si>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</si>
  <si>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</si>
  <si>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</si>
  <si>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</si>
  <si>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</si>
  <si>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</si>
  <si>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</si>
  <si>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</si>
  <si>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</si>
  <si>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</si>
  <si>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</si>
  <si>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</si>
  <si>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</si>
  <si>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</si>
  <si>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</si>
  <si>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</si>
  <si>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</si>
  <si>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</si>
  <si>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</si>
  <si>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</si>
  <si>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</si>
  <si>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</si>
  <si>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</si>
  <si>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</si>
  <si>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</si>
  <si>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</si>
  <si>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</si>
  <si>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</si>
  <si>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</si>
  <si>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</si>
  <si>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</si>
  <si>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</si>
  <si>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</si>
  <si>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</si>
  <si>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</si>
  <si>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</si>
  <si>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</si>
  <si>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</si>
  <si>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</si>
  <si>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</si>
  <si>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</si>
  <si>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</si>
  <si>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</si>
  <si>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</si>
  <si>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</si>
  <si>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</si>
  <si>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</si>
  <si>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</si>
  <si>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</si>
  <si>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</si>
  <si>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</si>
  <si>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</si>
  <si>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</si>
  <si>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</si>
  <si>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</si>
  <si>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</si>
  <si>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</si>
  <si>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</si>
  <si>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</si>
  <si>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</si>
  <si>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</si>
  <si>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</si>
  <si>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</si>
  <si>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</si>
  <si>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</si>
  <si>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</si>
  <si>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</si>
  <si>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</si>
  <si>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</si>
  <si>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</si>
  <si>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</si>
  <si>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</si>
  <si>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</si>
  <si>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</si>
  <si>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</si>
  <si>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</si>
  <si>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</si>
  <si>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</si>
  <si>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</si>
  <si>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</si>
  <si>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</si>
  <si>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</si>
  <si>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</si>
  <si>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</si>
  <si>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</si>
  <si>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</si>
  <si>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</si>
  <si>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</si>
  <si>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</si>
  <si>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</si>
  <si>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</si>
  <si>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</si>
  <si>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</si>
  <si>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</si>
  <si>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</si>
  <si>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</si>
  <si>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</si>
  <si>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</si>
  <si>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</si>
  <si>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</si>
  <si>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</si>
  <si>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</si>
  <si>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</si>
  <si>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</si>
  <si>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</si>
  <si>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</si>
  <si>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</si>
  <si>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</si>
  <si>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</si>
  <si>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</si>
  <si>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</si>
  <si>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</si>
  <si>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</si>
  <si>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</si>
  <si>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</si>
  <si>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</si>
  <si>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</si>
  <si>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</si>
  <si>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</si>
  <si>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</si>
  <si>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</si>
  <si>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</si>
  <si>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</si>
  <si>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</si>
  <si>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</si>
  <si>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</si>
  <si>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</si>
  <si>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</si>
  <si>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</si>
  <si>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</si>
  <si>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</si>
  <si>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</si>
  <si>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</si>
  <si>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</si>
  <si>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</si>
  <si>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</si>
  <si>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</si>
  <si>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</si>
  <si>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</si>
  <si>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</si>
  <si>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</si>
  <si>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</si>
  <si>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</si>
  <si>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</si>
  <si>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</si>
  <si>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</si>
  <si>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</si>
  <si>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</si>
  <si>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</si>
  <si>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</si>
  <si>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</si>
  <si>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</si>
  <si>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</si>
  <si>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</si>
  <si>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</si>
  <si>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</si>
  <si>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</si>
  <si>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</si>
  <si>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</si>
  <si>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</si>
  <si>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</si>
  <si>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</si>
  <si>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</si>
  <si>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</si>
  <si>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</si>
  <si>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</si>
  <si>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</si>
  <si>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</si>
  <si>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</si>
  <si>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</si>
  <si>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</si>
  <si>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</si>
  <si>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</si>
  <si>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</si>
  <si>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</si>
  <si>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</si>
  <si>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</si>
  <si>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</si>
  <si>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</si>
  <si>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</si>
  <si>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</si>
  <si>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</si>
  <si>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</si>
  <si>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</si>
  <si>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</si>
  <si>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</si>
  <si>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</si>
  <si>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</si>
  <si>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</si>
  <si>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</si>
  <si>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</si>
  <si>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</si>
  <si>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</si>
  <si>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</si>
  <si>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</si>
  <si>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</si>
  <si>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</si>
  <si>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</si>
  <si>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</si>
  <si>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</si>
  <si>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</si>
  <si>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</si>
  <si>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</si>
  <si>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</si>
  <si>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</si>
  <si>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</si>
  <si>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</si>
  <si>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</si>
  <si>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</si>
  <si>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</si>
  <si>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</si>
  <si>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</si>
  <si>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</si>
  <si>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</si>
  <si>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</si>
  <si>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</si>
  <si>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</si>
  <si>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</si>
  <si>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</si>
  <si>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</si>
  <si>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</si>
  <si>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</si>
  <si>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</si>
  <si>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</si>
  <si>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</si>
  <si>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</si>
  <si>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</si>
  <si>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</si>
  <si>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</si>
  <si>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</si>
  <si>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</si>
  <si>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</si>
  <si>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</si>
  <si>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</si>
  <si>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</si>
  <si>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</si>
  <si>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</si>
  <si>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</si>
  <si>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</si>
  <si>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</si>
  <si>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</si>
  <si>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</si>
  <si>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</si>
  <si>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</si>
  <si>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</si>
  <si>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</si>
  <si>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</si>
  <si>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</si>
  <si>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</si>
  <si>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</si>
  <si>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</si>
  <si>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</si>
  <si>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</si>
  <si>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</si>
  <si>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</si>
  <si>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</si>
  <si>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</si>
  <si>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</si>
  <si>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</si>
  <si>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</si>
  <si>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</si>
  <si>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</si>
  <si>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</si>
  <si>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</si>
  <si>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</si>
  <si>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</si>
  <si>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</si>
  <si>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</si>
  <si>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</si>
  <si>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</si>
  <si>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</si>
  <si>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</si>
  <si>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</si>
  <si>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</si>
  <si>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</si>
  <si>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</si>
  <si>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</si>
  <si>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</si>
  <si>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</si>
  <si>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</si>
  <si>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</si>
  <si>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</si>
  <si>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</si>
  <si>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</si>
  <si>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</si>
  <si>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</si>
  <si>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</si>
  <si>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</si>
  <si>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</si>
  <si>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</si>
  <si>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</si>
  <si>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</si>
  <si>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</si>
  <si>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</si>
  <si>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</si>
  <si>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</si>
  <si>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</si>
  <si>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</si>
  <si>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</si>
  <si>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</si>
  <si>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</si>
  <si>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</si>
  <si>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</si>
  <si>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</si>
  <si>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</si>
  <si>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</si>
  <si>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</si>
  <si>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</si>
  <si>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</si>
  <si>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</si>
  <si>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</si>
  <si>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</si>
  <si>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</si>
  <si>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</si>
  <si>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</si>
  <si>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</si>
  <si>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</si>
  <si>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</si>
  <si>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</si>
  <si>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</si>
  <si>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</si>
  <si>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</si>
  <si>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</si>
  <si>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</si>
  <si>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</si>
  <si>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</si>
  <si>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</si>
  <si>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</si>
  <si>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</si>
  <si>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</si>
  <si>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</si>
  <si>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</si>
  <si>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</si>
  <si>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</si>
  <si>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</si>
  <si>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</si>
  <si>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</si>
  <si>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</si>
  <si>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</si>
  <si>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</si>
  <si>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</si>
  <si>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</si>
  <si>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</si>
  <si>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</si>
  <si>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</si>
  <si>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</si>
  <si>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</si>
  <si>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</si>
  <si>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</si>
  <si>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</si>
  <si>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</si>
  <si>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</si>
  <si>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</si>
  <si>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</si>
  <si>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</si>
  <si>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</si>
  <si>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</si>
  <si>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</si>
  <si>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</si>
  <si>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</si>
  <si>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</si>
  <si>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</si>
  <si>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</si>
  <si>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</si>
  <si>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</si>
  <si>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</si>
  <si>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</si>
  <si>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</si>
  <si>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</si>
  <si>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</si>
  <si>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</si>
  <si>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</si>
  <si>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</si>
  <si>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</si>
  <si>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</si>
  <si>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</si>
  <si>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</si>
  <si>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</si>
  <si>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</si>
  <si>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</si>
  <si>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</si>
  <si>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</si>
  <si>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</si>
  <si>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</si>
  <si>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</si>
  <si>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</si>
  <si>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</si>
  <si>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</si>
  <si>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</si>
  <si>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</si>
  <si>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</si>
  <si>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</si>
  <si>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</si>
  <si>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</si>
  <si>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</si>
  <si>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</si>
  <si>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</si>
  <si>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</si>
  <si>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</si>
  <si>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</si>
  <si>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</si>
  <si>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</si>
  <si>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</si>
  <si>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</si>
  <si>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</si>
  <si>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</si>
  <si>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</si>
  <si>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</si>
  <si>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</si>
  <si>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</si>
  <si>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</si>
  <si>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</si>
  <si>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</si>
  <si>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</si>
  <si>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</si>
  <si>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</si>
  <si>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</si>
  <si>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</si>
  <si>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</si>
  <si>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</si>
  <si>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</si>
  <si>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</si>
  <si>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</si>
  <si>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</si>
  <si>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</si>
  <si>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</si>
  <si>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</si>
  <si>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</si>
  <si>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</si>
  <si>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</si>
  <si>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</si>
  <si>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</si>
  <si>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</si>
  <si>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</si>
  <si>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</si>
  <si>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</si>
  <si>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</si>
  <si>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</si>
  <si>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</si>
  <si>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</si>
  <si>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</si>
  <si>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</si>
  <si>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</si>
  <si>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</si>
  <si>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</si>
  <si>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</si>
  <si>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</si>
  <si>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</si>
  <si>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</si>
  <si>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</si>
  <si>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</si>
  <si>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</si>
  <si>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</si>
  <si>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</si>
  <si>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</si>
  <si>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</si>
  <si>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</si>
  <si>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</si>
  <si>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</si>
  <si>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</si>
  <si>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</si>
  <si>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</si>
  <si>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</si>
  <si>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</si>
  <si>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</si>
  <si>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</si>
  <si>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</si>
  <si>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</si>
  <si>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</si>
  <si>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</si>
  <si>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</si>
  <si>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</si>
  <si>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</si>
  <si>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</si>
  <si>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</si>
  <si>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</si>
  <si>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</si>
  <si>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</si>
  <si>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</si>
  <si>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</si>
  <si>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</si>
  <si>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</si>
  <si>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</si>
  <si>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</si>
  <si>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</si>
  <si>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</si>
  <si>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</si>
  <si>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</si>
  <si>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</si>
  <si>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</si>
  <si>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</si>
  <si>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</si>
  <si>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</si>
  <si>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</si>
  <si>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</si>
  <si>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</si>
  <si>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</si>
  <si>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</si>
  <si>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</si>
  <si>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</si>
  <si>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</si>
  <si>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</si>
  <si>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</si>
  <si>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</si>
  <si>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</si>
  <si>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</si>
  <si>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</si>
  <si>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</si>
  <si>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</si>
  <si>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</si>
  <si>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</si>
  <si>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</si>
  <si>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</si>
  <si>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</si>
  <si>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</si>
  <si>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</si>
  <si>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</si>
  <si>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</si>
  <si>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</si>
  <si>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</si>
  <si>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</si>
  <si>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</si>
  <si>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</si>
  <si>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</si>
  <si>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</si>
  <si>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</si>
  <si>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</si>
  <si>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</si>
  <si>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</si>
  <si>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</si>
  <si>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</si>
  <si>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</si>
  <si>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</si>
  <si>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</si>
  <si>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</si>
  <si>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</si>
  <si>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</si>
  <si>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</si>
  <si>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</si>
  <si>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</si>
  <si>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</si>
  <si>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</si>
  <si>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</si>
  <si>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</si>
  <si>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</si>
  <si>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</si>
  <si>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</si>
  <si>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</si>
  <si>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</si>
  <si>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</si>
  <si>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</si>
  <si>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</si>
  <si>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</si>
  <si>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</si>
  <si>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</si>
  <si>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</si>
  <si>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</si>
  <si>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</si>
  <si>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</si>
  <si>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</si>
  <si>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</si>
  <si>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</si>
  <si>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</si>
  <si>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</si>
  <si>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</si>
  <si>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</si>
  <si>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</si>
  <si>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</si>
  <si>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</si>
  <si>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</si>
  <si>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</si>
  <si>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</si>
  <si>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</si>
  <si>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</si>
  <si>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</si>
  <si>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</si>
  <si>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</si>
  <si>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</si>
  <si>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</si>
  <si>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</si>
  <si>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</si>
  <si>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</si>
  <si>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</si>
  <si>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</si>
  <si>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</si>
  <si>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</si>
  <si>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</si>
  <si>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</si>
  <si>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</si>
  <si>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</si>
  <si>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</si>
  <si>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</si>
  <si>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</si>
  <si>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</si>
  <si>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</si>
  <si>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</si>
  <si>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</si>
  <si>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</si>
  <si>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</si>
  <si>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</si>
  <si>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</si>
  <si>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</si>
  <si>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</si>
  <si>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</si>
  <si>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</si>
  <si>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</si>
  <si>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</si>
  <si>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</si>
  <si>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</si>
  <si>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</si>
  <si>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</si>
  <si>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</si>
  <si>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</si>
  <si>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</si>
  <si>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</si>
  <si>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</si>
  <si>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</si>
  <si>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</si>
  <si>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</si>
  <si>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</si>
  <si>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</si>
  <si>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</si>
  <si>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</si>
  <si>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</si>
  <si>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</si>
  <si>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</si>
  <si>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</si>
  <si>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</si>
  <si>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</si>
  <si>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</si>
  <si>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</si>
  <si>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</si>
  <si>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</si>
  <si>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</si>
  <si>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</si>
  <si>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</si>
  <si>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</si>
  <si>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</si>
  <si>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</si>
  <si>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</si>
  <si>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</si>
  <si>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</si>
  <si>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</si>
  <si>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</si>
  <si>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</si>
  <si>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</si>
  <si>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</si>
  <si>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</si>
  <si>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</si>
  <si>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</si>
  <si>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</si>
  <si>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</si>
  <si>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</si>
  <si>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</si>
  <si>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</si>
  <si>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</si>
  <si>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</si>
  <si>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</si>
  <si>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</si>
  <si>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</si>
  <si>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</si>
  <si>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</si>
  <si>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</si>
  <si>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</si>
  <si>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</si>
  <si>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</si>
  <si>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</si>
  <si>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</si>
  <si>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</si>
  <si>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</si>
  <si>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</si>
  <si>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</si>
  <si>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</si>
  <si>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</si>
  <si>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</si>
  <si>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</si>
  <si>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</si>
  <si>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</si>
  <si>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</si>
  <si>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</si>
  <si>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</si>
  <si>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</si>
  <si>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</si>
  <si>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</si>
  <si>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</si>
  <si>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</si>
  <si>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</si>
  <si>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</si>
  <si>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</si>
  <si>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</si>
  <si>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</si>
  <si>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</si>
  <si>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</si>
  <si>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</si>
  <si>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</si>
  <si>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</si>
  <si>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</si>
  <si>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</si>
  <si>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</si>
  <si>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</si>
  <si>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</si>
  <si>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</si>
  <si>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</si>
  <si>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</si>
  <si>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</si>
  <si>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</si>
  <si>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</si>
  <si>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</si>
  <si>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</si>
  <si>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</si>
  <si>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</si>
  <si>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</si>
  <si>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</si>
  <si>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</si>
  <si>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</si>
  <si>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</si>
  <si>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</si>
  <si>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</si>
  <si>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</si>
  <si>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</si>
  <si>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</si>
  <si>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</si>
  <si>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</si>
  <si>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</si>
  <si>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</si>
  <si>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</si>
  <si>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</si>
  <si>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</si>
  <si>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</si>
  <si>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</si>
  <si>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</si>
  <si>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</si>
  <si>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</si>
  <si>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</si>
  <si>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</si>
  <si>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</si>
  <si>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</si>
  <si>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</si>
  <si>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</si>
  <si>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</si>
  <si>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</si>
  <si>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</si>
  <si>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</si>
  <si>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</si>
  <si>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</si>
  <si>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</si>
  <si>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</si>
  <si>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</si>
  <si>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</si>
  <si>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</si>
  <si>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</si>
  <si>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</si>
  <si>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</si>
  <si>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</si>
  <si>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</si>
  <si>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</si>
  <si>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</si>
  <si>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</si>
  <si>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</si>
  <si>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</si>
  <si>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</si>
  <si>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</si>
  <si>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</si>
  <si>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</si>
  <si>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</si>
  <si>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</si>
  <si>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</si>
  <si>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</si>
  <si>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</si>
  <si>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</si>
  <si>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</si>
  <si>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</si>
  <si>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</si>
  <si>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</si>
  <si>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</si>
  <si>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</si>
  <si>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</si>
  <si>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</si>
  <si>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</si>
  <si>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</si>
  <si>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</si>
  <si>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</si>
  <si>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</si>
  <si>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</si>
  <si>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</si>
  <si>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</si>
  <si>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</si>
  <si>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</si>
  <si>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</si>
  <si>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</si>
  <si>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</si>
  <si>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</si>
  <si>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</si>
  <si>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</si>
  <si>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</si>
  <si>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</si>
  <si>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</si>
  <si>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</si>
  <si>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</si>
  <si>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</si>
  <si>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</si>
  <si>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</si>
  <si>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</si>
  <si>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</si>
  <si>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</si>
  <si>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</si>
  <si>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</si>
  <si>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</si>
  <si>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</si>
  <si>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</si>
  <si>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</si>
  <si>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</si>
  <si>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</si>
  <si>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</si>
  <si>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</si>
  <si>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</si>
  <si>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</si>
  <si>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</si>
  <si>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</si>
  <si>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</si>
  <si>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</si>
  <si>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</si>
  <si>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</si>
  <si>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</si>
  <si>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</si>
  <si>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</si>
  <si>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</si>
  <si>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</si>
  <si>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</si>
  <si>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</si>
  <si>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</si>
  <si>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</si>
  <si>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</si>
  <si>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</si>
  <si>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</si>
  <si>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</si>
  <si>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</si>
  <si>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</si>
  <si>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</si>
  <si>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</si>
  <si>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</si>
  <si>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</si>
  <si>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</si>
  <si>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</si>
  <si>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</si>
  <si>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</si>
  <si>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</si>
  <si>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</si>
  <si>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</si>
  <si>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</si>
  <si>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</si>
  <si>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</si>
  <si>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</si>
  <si>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</si>
  <si>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</si>
  <si>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</si>
  <si>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</si>
  <si>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</si>
  <si>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</si>
  <si>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</si>
  <si>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</si>
  <si>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</si>
  <si>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</si>
  <si>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</si>
  <si>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</si>
  <si>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</si>
  <si>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</si>
  <si>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</si>
  <si>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</si>
  <si>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</si>
  <si>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</si>
  <si>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</si>
  <si>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</si>
  <si>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</si>
  <si>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</si>
  <si>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</si>
  <si>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</si>
  <si>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</si>
  <si>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</si>
  <si>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</si>
  <si>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</si>
  <si>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</si>
  <si>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</si>
  <si>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</si>
  <si>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</si>
  <si>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</si>
  <si>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</si>
  <si>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</si>
  <si>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</si>
  <si>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</si>
  <si>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</si>
  <si>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</si>
  <si>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</si>
  <si>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</si>
  <si>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</si>
  <si>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</si>
  <si>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</si>
  <si>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</si>
  <si>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</si>
  <si>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</si>
  <si>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</si>
  <si>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</si>
  <si>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</si>
  <si>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</si>
  <si>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</si>
  <si>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</si>
  <si>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</si>
  <si>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</si>
  <si>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</si>
  <si>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</si>
  <si>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</si>
  <si>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</si>
  <si>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</si>
  <si>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</si>
  <si>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</si>
  <si>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</si>
  <si>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</si>
  <si>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</si>
  <si>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</si>
  <si>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</si>
  <si>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</si>
  <si>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</si>
  <si>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</si>
  <si>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</si>
  <si>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</si>
  <si>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</si>
  <si>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</si>
  <si>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</si>
  <si>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</si>
  <si>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</si>
  <si>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</si>
  <si>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</si>
  <si>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</si>
  <si>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</si>
  <si>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</si>
  <si>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</si>
  <si>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</si>
  <si>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</si>
  <si>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</si>
  <si>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</si>
  <si>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</si>
  <si>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</si>
  <si>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</si>
  <si>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</si>
  <si>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</si>
  <si>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</si>
  <si>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</si>
  <si>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</si>
  <si>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</si>
  <si>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</si>
  <si>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</si>
  <si>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</si>
  <si>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</si>
  <si>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</si>
  <si>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</si>
  <si>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</si>
  <si>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</si>
  <si>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</si>
  <si>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</si>
  <si>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</si>
  <si>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</si>
  <si>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</si>
  <si>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</si>
  <si>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</si>
  <si>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</si>
  <si>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</si>
  <si>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</si>
  <si>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</si>
  <si>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</si>
  <si>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</si>
  <si>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</si>
  <si>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</si>
  <si>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</si>
  <si>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</si>
  <si>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</si>
  <si>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</si>
  <si>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</si>
  <si>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</si>
  <si>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</si>
  <si>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</si>
  <si>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</si>
  <si>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</si>
  <si>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</si>
  <si>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</si>
  <si>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</si>
  <si>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</si>
  <si>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</si>
  <si>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</si>
  <si>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</si>
  <si>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</si>
  <si>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</si>
  <si>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</si>
  <si>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</si>
  <si>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</si>
  <si>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</si>
  <si>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</si>
  <si>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</si>
  <si>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</si>
  <si>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</si>
  <si>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</si>
  <si>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</si>
  <si>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</si>
  <si>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</si>
  <si>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</si>
  <si>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</si>
  <si>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</si>
  <si>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</si>
  <si>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</si>
  <si>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</si>
  <si>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</si>
  <si>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</si>
  <si>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</si>
  <si>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</si>
  <si>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</si>
  <si>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</si>
  <si>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</si>
  <si>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</si>
  <si>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</si>
  <si>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</si>
  <si>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</si>
  <si>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</si>
  <si>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</si>
  <si>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</si>
  <si>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</si>
  <si>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</si>
  <si>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</si>
  <si>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</si>
  <si>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</si>
  <si>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</si>
  <si>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</si>
  <si>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</si>
  <si>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</si>
  <si>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</si>
  <si>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</si>
  <si>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</si>
  <si>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</si>
  <si>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</si>
  <si>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</si>
  <si>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</si>
  <si>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</si>
  <si>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</si>
  <si>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</si>
  <si>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</si>
  <si>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</si>
  <si>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</si>
  <si>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</si>
  <si>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</si>
  <si>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</si>
  <si>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</si>
  <si>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</si>
  <si>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</si>
  <si>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</si>
  <si>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</si>
  <si>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</si>
  <si>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</si>
  <si>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</si>
  <si>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</si>
  <si>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</si>
  <si>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</si>
  <si>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</si>
  <si>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</si>
  <si>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</si>
  <si>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</si>
  <si>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</si>
  <si>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</si>
  <si>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</si>
  <si>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</si>
  <si>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</si>
  <si>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</si>
  <si>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</si>
  <si>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</si>
  <si>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</si>
  <si>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</si>
  <si>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</si>
  <si>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</si>
  <si>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</si>
  <si>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</si>
  <si>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</si>
  <si>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</si>
  <si>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</si>
  <si>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</si>
  <si>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</si>
  <si>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</si>
  <si>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</si>
  <si>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</si>
  <si>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</si>
  <si>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</si>
  <si>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</si>
  <si>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</si>
  <si>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</si>
  <si>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</si>
  <si>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</si>
  <si>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</si>
  <si>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</si>
  <si>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</si>
  <si>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</si>
  <si>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</si>
  <si>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</si>
  <si>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</si>
  <si>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</si>
  <si>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</si>
  <si>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</si>
  <si>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</si>
  <si>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</si>
  <si>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</si>
  <si>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</si>
  <si>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</si>
  <si>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</si>
  <si>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</si>
  <si>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</si>
  <si>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</si>
  <si>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</si>
  <si>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</si>
  <si>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</si>
  <si>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</si>
  <si>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</si>
  <si>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</si>
  <si>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</si>
  <si>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</si>
  <si>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</si>
  <si>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</si>
  <si>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</si>
  <si>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</si>
  <si>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</si>
  <si>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</si>
  <si>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</si>
  <si>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</si>
  <si>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</si>
  <si>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</si>
  <si>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</si>
  <si>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</si>
  <si>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</si>
  <si>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</si>
  <si>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</si>
  <si>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</si>
  <si>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</si>
  <si>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</si>
  <si>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</si>
  <si>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</si>
  <si>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</si>
  <si>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</si>
  <si>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</si>
  <si>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</si>
  <si>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</si>
  <si>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</si>
  <si>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</si>
  <si>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</si>
  <si>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</si>
  <si>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</si>
  <si>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</si>
  <si>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</si>
  <si>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</si>
  <si>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</si>
  <si>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</si>
  <si>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</si>
  <si>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</si>
  <si>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</si>
  <si>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</si>
  <si>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</si>
  <si>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</si>
  <si>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</si>
  <si>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</si>
  <si>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</si>
  <si>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</si>
  <si>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</si>
  <si>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</si>
  <si>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</si>
  <si>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</si>
  <si>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</si>
  <si>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</si>
  <si>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</si>
  <si>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</si>
  <si>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</si>
  <si>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</si>
  <si>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</si>
  <si>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</si>
  <si>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</si>
  <si>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</si>
  <si>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</si>
  <si>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</si>
  <si>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</si>
  <si>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</si>
  <si>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</si>
  <si>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</si>
  <si>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</si>
  <si>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</si>
  <si>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</si>
  <si>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</si>
  <si>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</si>
  <si>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</si>
  <si>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</si>
  <si>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</si>
  <si>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</si>
  <si>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</si>
  <si>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</si>
  <si>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</si>
  <si>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</si>
  <si>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</si>
  <si>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</si>
  <si>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</si>
  <si>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</si>
  <si>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</si>
  <si>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</si>
  <si>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</si>
  <si>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</si>
  <si>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</si>
  <si>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</si>
  <si>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</si>
  <si>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</si>
  <si>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</si>
  <si>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</si>
  <si>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</si>
  <si>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</si>
  <si>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</si>
  <si>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</si>
  <si>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</si>
  <si>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</si>
  <si>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</si>
  <si>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</si>
  <si>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</si>
  <si>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</si>
  <si>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</si>
  <si>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</si>
  <si>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</si>
  <si>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</si>
  <si>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</si>
  <si>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</si>
  <si>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</si>
  <si>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</si>
  <si>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</si>
  <si>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</si>
  <si>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</si>
  <si>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</si>
  <si>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</si>
  <si>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</si>
  <si>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</si>
  <si>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</si>
  <si>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</si>
  <si>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</si>
  <si>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</si>
  <si>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</si>
  <si>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</si>
  <si>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</si>
  <si>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</si>
  <si>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</si>
  <si>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</si>
  <si>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</si>
  <si>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</si>
  <si>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</si>
  <si>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</si>
  <si>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</si>
  <si>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</si>
  <si>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</si>
  <si>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</si>
  <si>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</si>
  <si>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</si>
  <si>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</si>
  <si>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</si>
  <si>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</si>
  <si>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</si>
  <si>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</si>
  <si>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</si>
  <si>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</si>
  <si>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</si>
  <si>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</si>
  <si>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</si>
  <si>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</si>
  <si>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</si>
  <si>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</si>
  <si>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</si>
  <si>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</si>
  <si>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</si>
  <si>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</si>
  <si>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</si>
  <si>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</si>
  <si>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</si>
  <si>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</si>
  <si>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</si>
  <si>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</si>
  <si>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</si>
  <si>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</si>
  <si>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</si>
  <si>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</si>
  <si>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</si>
  <si>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</si>
  <si>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</si>
  <si>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</si>
  <si>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</si>
  <si>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</si>
  <si>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</si>
  <si>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</si>
  <si>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</si>
  <si>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</si>
  <si>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</si>
  <si>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</si>
  <si>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</si>
  <si>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</si>
  <si>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</si>
  <si>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</si>
  <si>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</si>
  <si>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</si>
  <si>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</si>
  <si>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</si>
  <si>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</si>
  <si>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</si>
  <si>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</si>
  <si>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</si>
  <si>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</si>
  <si>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</si>
  <si>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</si>
  <si>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</si>
  <si>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</si>
  <si>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</si>
  <si>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</si>
  <si>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</si>
  <si>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</si>
  <si>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</si>
  <si>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</si>
  <si>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</si>
  <si>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</si>
  <si>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</si>
  <si>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</si>
  <si>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</si>
  <si>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</si>
  <si>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</si>
  <si>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</si>
  <si>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</si>
  <si>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</si>
  <si>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</si>
  <si>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</si>
  <si>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</si>
  <si>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</si>
  <si>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</si>
  <si>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</si>
  <si>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</si>
  <si>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</si>
  <si>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</si>
  <si>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</si>
  <si>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</si>
  <si>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</si>
  <si>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</si>
  <si>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</si>
  <si>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</si>
  <si>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</si>
  <si>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</si>
  <si>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</si>
  <si>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</si>
  <si>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</si>
  <si>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</si>
  <si>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</si>
  <si>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</si>
  <si>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</si>
  <si>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</si>
  <si>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</si>
  <si>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</si>
  <si>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</si>
  <si>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</si>
  <si>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</si>
  <si>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</si>
  <si>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</si>
  <si>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</si>
  <si>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</si>
  <si>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</si>
  <si>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</si>
  <si>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</si>
  <si>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</si>
  <si>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</si>
  <si>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</si>
  <si>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</si>
  <si>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</si>
  <si>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</si>
  <si>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</si>
  <si>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</si>
  <si>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</si>
  <si>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</si>
  <si>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</si>
  <si>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</si>
  <si>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</si>
  <si>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</si>
  <si>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</si>
  <si>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</si>
  <si>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</si>
  <si>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</si>
  <si>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</si>
  <si>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</si>
  <si>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</si>
  <si>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</si>
  <si>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</si>
  <si>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</si>
  <si>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</si>
  <si>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</si>
  <si>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</si>
  <si>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</si>
  <si>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</si>
  <si>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</si>
  <si>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</si>
  <si>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</si>
  <si>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</si>
  <si>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</si>
  <si>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</si>
  <si>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</si>
  <si>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</si>
  <si>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</si>
  <si>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</si>
  <si>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</si>
  <si>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</si>
  <si>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</si>
  <si>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</si>
  <si>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</si>
  <si>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</si>
  <si>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</si>
  <si>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</si>
  <si>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</si>
  <si>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</si>
  <si>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</si>
  <si>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</si>
  <si>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</si>
  <si>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</si>
  <si>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</si>
  <si>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</si>
  <si>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</si>
  <si>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</si>
  <si>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</si>
  <si>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</si>
  <si>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</si>
  <si>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</si>
  <si>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</si>
  <si>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</si>
  <si>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</si>
  <si>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</si>
  <si>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</si>
  <si>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</si>
  <si>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</si>
  <si>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</si>
  <si>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</si>
  <si>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</si>
  <si>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</si>
  <si>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</si>
  <si>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</si>
  <si>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</si>
  <si>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</si>
  <si>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</si>
  <si>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</si>
  <si>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</si>
  <si>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</si>
  <si>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</si>
  <si>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</si>
  <si>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</si>
  <si>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</si>
  <si>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</si>
  <si>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</si>
  <si>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</si>
  <si>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</si>
  <si>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</si>
  <si>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</si>
  <si>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</si>
  <si>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</si>
  <si>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</si>
  <si>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</si>
  <si>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</si>
  <si>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</si>
  <si>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</si>
  <si>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</si>
  <si>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</si>
  <si>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</si>
  <si>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</si>
  <si>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</si>
  <si>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</si>
  <si>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</si>
  <si>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</si>
  <si>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</si>
  <si>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</si>
  <si>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</si>
  <si>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</si>
  <si>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</si>
  <si>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</si>
  <si>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</si>
  <si>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</si>
  <si>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</si>
  <si>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</si>
  <si>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</si>
  <si>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</si>
  <si>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</si>
  <si>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</si>
  <si>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</si>
  <si>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</si>
  <si>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</si>
  <si>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</si>
  <si>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</si>
  <si>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</si>
  <si>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</si>
  <si>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</si>
  <si>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</si>
  <si>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</si>
  <si>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</si>
  <si>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</si>
  <si>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</si>
  <si>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</si>
  <si>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</si>
  <si>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</si>
  <si>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</si>
  <si>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</si>
  <si>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</si>
  <si>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</si>
  <si>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</si>
  <si>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</si>
  <si>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</si>
  <si>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</si>
  <si>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</si>
  <si>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</si>
  <si>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</si>
  <si>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</si>
  <si>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</si>
  <si>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</si>
  <si>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</si>
  <si>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</si>
  <si>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</si>
  <si>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</si>
  <si>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</si>
  <si>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</si>
  <si>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</si>
  <si>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</si>
  <si>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</si>
  <si>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</si>
  <si>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</si>
  <si>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</si>
  <si>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</si>
  <si>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</si>
  <si>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</si>
  <si>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</si>
  <si>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</si>
  <si>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</si>
  <si>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</si>
  <si>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</si>
  <si>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</si>
  <si>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</si>
  <si>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</si>
  <si>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</si>
  <si>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</si>
  <si>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</si>
  <si>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</si>
  <si>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</si>
  <si>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</si>
  <si>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</si>
  <si>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</si>
  <si>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</si>
  <si>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</si>
  <si>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</si>
  <si>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</si>
  <si>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</si>
  <si>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</si>
  <si>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</si>
  <si>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</si>
  <si>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</si>
  <si>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</si>
  <si>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</si>
  <si>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</si>
  <si>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</si>
  <si>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</si>
  <si>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</si>
  <si>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</si>
  <si>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</si>
  <si>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</si>
  <si>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</si>
  <si>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</si>
  <si>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</si>
  <si>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</si>
  <si>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</si>
  <si>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</si>
  <si>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</si>
  <si>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</si>
  <si>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</si>
  <si>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</si>
  <si>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</si>
  <si>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</si>
  <si>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</si>
  <si>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</si>
  <si>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</si>
  <si>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</si>
  <si>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</si>
  <si>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</si>
  <si>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</si>
  <si>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</si>
  <si>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</si>
  <si>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</si>
  <si>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</si>
  <si>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</si>
  <si>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</si>
  <si>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</si>
  <si>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</si>
  <si>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</si>
  <si>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</si>
  <si>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</si>
  <si>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</si>
  <si>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</si>
  <si>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</si>
  <si>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</si>
  <si>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</si>
  <si>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</si>
  <si>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</si>
  <si>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</si>
  <si>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</si>
  <si>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</si>
  <si>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</si>
  <si>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</si>
  <si>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</si>
  <si>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</si>
  <si>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</si>
  <si>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</si>
  <si>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</si>
  <si>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</si>
  <si>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</si>
  <si>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</si>
  <si>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</si>
  <si>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</si>
  <si>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</si>
  <si>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</si>
  <si>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</si>
  <si>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</si>
  <si>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</si>
  <si>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</si>
  <si>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</si>
  <si>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</si>
  <si>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</si>
  <si>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</si>
  <si>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</si>
  <si>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</si>
  <si>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</si>
  <si>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</si>
  <si>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</si>
  <si>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</si>
  <si>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</si>
  <si>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</si>
  <si>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</si>
  <si>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</si>
  <si>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</si>
  <si>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</si>
  <si>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</si>
  <si>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</si>
  <si>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</si>
  <si>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</si>
  <si>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</si>
  <si>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</si>
  <si>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</si>
  <si>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</si>
  <si>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</si>
  <si>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</si>
  <si>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</si>
  <si>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</si>
  <si>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</si>
  <si>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</si>
  <si>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</si>
  <si>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</si>
  <si>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</si>
  <si>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</si>
  <si>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</si>
  <si>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</si>
  <si>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</si>
  <si>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</si>
  <si>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</si>
  <si>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</si>
  <si>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</si>
  <si>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</si>
  <si>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</si>
  <si>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</si>
  <si>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</si>
  <si>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</si>
  <si>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</si>
  <si>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</si>
  <si>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</si>
  <si>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</si>
  <si>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</si>
  <si>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</si>
  <si>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</si>
  <si>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</si>
  <si>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</si>
  <si>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</si>
  <si>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</si>
  <si>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</si>
  <si>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</si>
  <si>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</si>
  <si>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</si>
  <si>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</si>
  <si>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</si>
  <si>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</si>
  <si>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</si>
  <si>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</si>
  <si>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</si>
  <si>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</si>
  <si>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</si>
  <si>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</si>
  <si>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</si>
  <si>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</si>
  <si>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</si>
  <si>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</si>
  <si>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</si>
  <si>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</si>
  <si>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</si>
  <si>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</si>
  <si>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</si>
  <si>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</si>
  <si>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</si>
  <si>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</si>
  <si>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</si>
  <si>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</si>
  <si>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</si>
  <si>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</si>
  <si>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</si>
  <si>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</si>
  <si>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</si>
  <si>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</si>
  <si>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</si>
  <si>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</si>
  <si>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</si>
  <si>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</si>
  <si>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</si>
  <si>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</si>
  <si>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</si>
  <si>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</si>
  <si>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</si>
  <si>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</si>
  <si>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</si>
  <si>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</si>
  <si>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</si>
  <si>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</si>
  <si>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</si>
  <si>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</si>
  <si>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</si>
  <si>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</si>
  <si>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</si>
  <si>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</si>
  <si>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</si>
  <si>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</si>
  <si>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</si>
  <si>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</si>
  <si>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</si>
  <si>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</si>
  <si>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</si>
  <si>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</si>
  <si>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</si>
  <si>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</si>
  <si>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</si>
  <si>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</si>
  <si>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</si>
  <si>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</si>
  <si>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</si>
  <si>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</si>
  <si>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</si>
  <si>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</si>
  <si>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</si>
  <si>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</si>
  <si>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</si>
  <si>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</si>
  <si>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</si>
  <si>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</si>
  <si>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</si>
  <si>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</si>
  <si>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</si>
  <si>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</si>
  <si>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</si>
  <si>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</si>
  <si>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</si>
  <si>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</si>
  <si>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</si>
  <si>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</si>
  <si>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</si>
  <si>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</si>
  <si>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</si>
  <si>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</si>
  <si>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</si>
  <si>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</si>
  <si>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</si>
  <si>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</si>
  <si>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</si>
  <si>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</si>
  <si>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</si>
  <si>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</si>
  <si>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</si>
  <si>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</si>
  <si>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</si>
  <si>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</si>
  <si>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</si>
  <si>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</si>
  <si>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</si>
  <si>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</si>
  <si>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</si>
  <si>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</si>
  <si>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</si>
  <si>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</si>
  <si>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</si>
  <si>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</si>
  <si>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</si>
  <si>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</si>
  <si>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</si>
  <si>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</si>
  <si>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</si>
  <si>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</si>
  <si>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</si>
  <si>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</si>
  <si>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</si>
  <si>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</si>
  <si>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</si>
  <si>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</si>
  <si>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</si>
  <si>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</si>
  <si>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</si>
  <si>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</si>
  <si>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</si>
  <si>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</si>
  <si>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</si>
  <si>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</si>
  <si>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</si>
  <si>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</si>
  <si>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</si>
  <si>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</si>
  <si>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</si>
  <si>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</si>
  <si>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</si>
  <si>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</si>
  <si>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</si>
  <si>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</si>
  <si>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</si>
  <si>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</si>
  <si>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</si>
  <si>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</si>
  <si>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</si>
  <si>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</si>
  <si>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</si>
  <si>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</si>
  <si>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</si>
  <si>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</si>
  <si>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</si>
  <si>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</si>
  <si>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</si>
  <si>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</si>
  <si>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</si>
  <si>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</si>
  <si>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</si>
  <si>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</si>
  <si>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</si>
  <si>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</si>
  <si>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</si>
  <si>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</si>
  <si>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</si>
  <si>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</si>
  <si>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</si>
  <si>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</si>
  <si>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</si>
  <si>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</si>
  <si>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</si>
  <si>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</si>
  <si>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</si>
  <si>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</si>
  <si>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</si>
  <si>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</si>
  <si>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</si>
  <si>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</si>
  <si>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</si>
  <si>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</si>
  <si>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</si>
  <si>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</si>
  <si>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</si>
  <si>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</si>
  <si>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</si>
  <si>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</si>
  <si>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</si>
  <si>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</si>
  <si>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</si>
  <si>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</si>
  <si>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</si>
  <si>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</si>
  <si>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</si>
  <si>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</si>
  <si>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</si>
  <si>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</si>
  <si>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</si>
  <si>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</si>
  <si>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</si>
  <si>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</si>
  <si>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</si>
  <si>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</si>
  <si>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</si>
  <si>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</si>
  <si>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</si>
  <si>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</si>
  <si>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</si>
  <si>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</si>
  <si>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</si>
  <si>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</si>
  <si>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</si>
  <si>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</si>
  <si>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</si>
  <si>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</si>
  <si>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</si>
  <si>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</si>
  <si>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</si>
  <si>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</si>
  <si>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</si>
  <si>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</si>
  <si>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</si>
  <si>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</si>
  <si>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</si>
  <si>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</si>
  <si>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</si>
  <si>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</si>
  <si>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</si>
  <si>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</si>
  <si>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</si>
  <si>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</si>
  <si>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</si>
  <si>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</si>
  <si>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</si>
  <si>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</si>
  <si>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</si>
  <si>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</si>
  <si>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</si>
  <si>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</si>
  <si>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</si>
  <si>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</si>
  <si>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</si>
  <si>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</si>
  <si>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</si>
  <si>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</si>
  <si>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</si>
  <si>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</si>
  <si>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</si>
  <si>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</si>
  <si>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</si>
  <si>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</si>
  <si>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</si>
  <si>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</si>
  <si>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</si>
  <si>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</si>
  <si>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</si>
  <si>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</si>
  <si>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</si>
  <si>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</si>
  <si>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</si>
  <si>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</si>
  <si>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</si>
  <si>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</si>
  <si>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</si>
  <si>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</si>
  <si>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</si>
  <si>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</si>
  <si>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</si>
  <si>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</si>
  <si>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</si>
  <si>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</si>
  <si>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</si>
  <si>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</si>
  <si>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</si>
  <si>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</si>
  <si>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</si>
  <si>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</si>
  <si>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</si>
  <si>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</si>
  <si>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</si>
  <si>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</si>
  <si>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</si>
  <si>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</si>
  <si>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</si>
  <si>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</si>
  <si>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</si>
  <si>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</si>
  <si>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</si>
  <si>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</si>
  <si>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</si>
  <si>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</si>
  <si>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</si>
  <si>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</si>
  <si>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</si>
  <si>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</si>
  <si>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</si>
  <si>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</si>
  <si>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</si>
  <si>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</si>
  <si>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</si>
  <si>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</si>
  <si>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</si>
  <si>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</si>
  <si>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</si>
  <si>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</si>
  <si>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</si>
  <si>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</si>
  <si>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</si>
  <si>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</si>
  <si>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</si>
  <si>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</si>
  <si>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</si>
  <si>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</si>
  <si>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</si>
  <si>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</si>
  <si>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</si>
  <si>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</si>
  <si>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</si>
  <si>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</si>
  <si>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</si>
  <si>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</si>
  <si>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</si>
  <si>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</si>
  <si>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</si>
  <si>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</si>
  <si>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</si>
  <si>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</si>
  <si>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</si>
  <si>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</si>
  <si>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</si>
  <si>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</si>
  <si>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</si>
  <si>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</si>
  <si>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</si>
  <si>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</si>
  <si>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</si>
  <si>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</si>
  <si>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</si>
  <si>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</si>
  <si>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</si>
  <si>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</si>
  <si>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</si>
  <si>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</si>
  <si>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</si>
  <si>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</si>
  <si>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</si>
  <si>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</si>
  <si>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</si>
  <si>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</si>
  <si>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</si>
  <si>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</si>
  <si>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</si>
  <si>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</si>
  <si>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</si>
  <si>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</si>
  <si>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</si>
  <si>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</si>
  <si>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</si>
  <si>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</si>
  <si>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</si>
  <si>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</si>
  <si>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</si>
  <si>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</si>
  <si>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</si>
  <si>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</si>
  <si>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</si>
  <si>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</si>
  <si>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</si>
  <si>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</si>
  <si>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</si>
  <si>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</si>
  <si>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</si>
  <si>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</si>
  <si>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</si>
  <si>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</si>
  <si>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</si>
  <si>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</si>
  <si>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</si>
  <si>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</si>
  <si>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</si>
  <si>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</si>
  <si>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</si>
  <si>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</si>
  <si>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</si>
  <si>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</si>
  <si>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</si>
  <si>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</si>
  <si>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</si>
  <si>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</si>
  <si>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</si>
  <si>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</si>
  <si>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</si>
  <si>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</si>
  <si>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</si>
  <si>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</si>
  <si>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</si>
  <si>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</si>
  <si>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</si>
  <si>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</si>
  <si>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</si>
  <si>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</si>
  <si>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</si>
  <si>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</si>
  <si>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</si>
  <si>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</si>
  <si>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</si>
  <si>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</si>
  <si>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</si>
  <si>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</si>
  <si>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</si>
  <si>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</si>
  <si>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</si>
  <si>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</si>
  <si>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</si>
  <si>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</si>
  <si>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</si>
  <si>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</si>
  <si>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</si>
  <si>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</si>
  <si>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</si>
  <si>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</si>
  <si>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</si>
  <si>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</si>
  <si>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</si>
  <si>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</si>
  <si>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</si>
  <si>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</si>
  <si>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</si>
  <si>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</si>
  <si>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</si>
  <si>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</si>
  <si>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</si>
  <si>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</si>
  <si>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</si>
  <si>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</si>
  <si>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</si>
  <si>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</si>
  <si>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</si>
  <si>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</si>
  <si>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</si>
  <si>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</si>
  <si>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</si>
  <si>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</si>
  <si>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</si>
  <si>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</si>
  <si>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</si>
  <si>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</si>
  <si>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</si>
  <si>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</si>
  <si>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</si>
  <si>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</si>
  <si>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</si>
  <si>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</si>
  <si>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</si>
  <si>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</si>
  <si>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</si>
  <si>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</si>
  <si>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</si>
  <si>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</si>
  <si>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</si>
  <si>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</si>
  <si>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</si>
  <si>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</si>
  <si>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</si>
  <si>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</si>
  <si>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</si>
  <si>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</si>
  <si>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</si>
  <si>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</si>
  <si>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</si>
  <si>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</si>
  <si>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</si>
  <si>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</si>
  <si>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</si>
  <si>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</si>
  <si>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</si>
  <si>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</si>
  <si>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</si>
  <si>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</si>
  <si>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</si>
  <si>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</si>
  <si>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</si>
  <si>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</si>
  <si>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</si>
  <si>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</si>
  <si>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</si>
  <si>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</si>
  <si>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</si>
  <si>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</si>
  <si>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</si>
  <si>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</si>
  <si>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</si>
  <si>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</si>
  <si>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</si>
  <si>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</si>
  <si>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</si>
  <si>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</si>
  <si>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</si>
  <si>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</si>
  <si>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</si>
  <si>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</si>
  <si>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</si>
  <si>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</si>
  <si>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</si>
  <si>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</si>
  <si>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</si>
  <si>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</si>
  <si>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</si>
  <si>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</si>
  <si>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</si>
  <si>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</si>
  <si>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</si>
  <si>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</si>
  <si>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</si>
  <si>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</si>
  <si>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</si>
  <si>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</si>
  <si>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</si>
  <si>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</si>
  <si>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</si>
  <si>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</si>
  <si>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</si>
  <si>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</si>
  <si>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</si>
  <si>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</si>
  <si>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</si>
  <si>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</si>
  <si>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</si>
  <si>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</si>
  <si>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</si>
  <si>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</si>
  <si>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</si>
  <si>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</si>
  <si>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</si>
  <si>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</si>
  <si>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</si>
  <si>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</si>
  <si>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</si>
  <si>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</si>
  <si>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</si>
  <si>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</si>
  <si>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</si>
  <si>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</si>
  <si>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</si>
  <si>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</si>
  <si>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</si>
  <si>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</si>
  <si>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</si>
  <si>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</si>
  <si>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</si>
  <si>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</si>
  <si>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</si>
  <si>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</si>
  <si>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</si>
  <si>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</si>
  <si>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</si>
  <si>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</si>
  <si>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</si>
  <si>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</si>
  <si>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</si>
  <si>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</si>
  <si>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</si>
  <si>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</si>
  <si>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</si>
  <si>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</si>
  <si>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</si>
  <si>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</si>
  <si>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</si>
  <si>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</si>
  <si>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</si>
  <si>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</si>
  <si>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</si>
  <si>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</si>
  <si>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</si>
  <si>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</si>
  <si>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</si>
  <si>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</si>
  <si>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</si>
  <si>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</si>
  <si>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</si>
  <si>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</si>
  <si>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</si>
  <si>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</si>
  <si>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</si>
  <si>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</si>
  <si>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</si>
  <si>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</si>
  <si>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</si>
  <si>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</si>
  <si>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</si>
  <si>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</si>
  <si>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</si>
  <si>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</si>
  <si>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</si>
  <si>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</si>
  <si>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</si>
  <si>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</si>
  <si>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</si>
  <si>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</si>
  <si>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</si>
  <si>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</si>
  <si>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</si>
  <si>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</si>
  <si>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</si>
  <si>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</si>
  <si>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</si>
  <si>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</si>
  <si>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</si>
  <si>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</si>
  <si>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</si>
  <si>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</si>
  <si>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</si>
  <si>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</si>
  <si>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</si>
  <si>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</si>
  <si>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</si>
  <si>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</si>
  <si>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</si>
  <si>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</si>
  <si>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</si>
  <si>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</si>
  <si>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</si>
  <si>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</si>
  <si>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</si>
  <si>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</si>
  <si>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</si>
  <si>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</si>
  <si>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</si>
  <si>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</si>
  <si>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</si>
  <si>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</si>
  <si>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</si>
  <si>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</si>
  <si>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</si>
  <si>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</si>
  <si>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</si>
  <si>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</si>
  <si>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</si>
  <si>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</si>
  <si>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</si>
  <si>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</si>
  <si>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</si>
  <si>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</si>
  <si>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</si>
  <si>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</si>
  <si>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</si>
  <si>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</si>
  <si>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</si>
  <si>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</si>
  <si>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</si>
  <si>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</si>
  <si>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</si>
  <si>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</si>
  <si>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</si>
  <si>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</si>
  <si>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</si>
  <si>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</si>
  <si>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</si>
  <si>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</si>
  <si>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</si>
  <si>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</si>
  <si>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</si>
  <si>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</si>
  <si>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</si>
  <si>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</si>
  <si>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</si>
  <si>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</si>
  <si>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</si>
  <si>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</si>
  <si>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</si>
  <si>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</si>
  <si>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</si>
  <si>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</si>
  <si>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</si>
  <si>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</si>
  <si>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</si>
  <si>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</si>
  <si>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</si>
  <si>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</si>
  <si>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</si>
  <si>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</si>
  <si>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</si>
  <si>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</si>
  <si>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</si>
  <si>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</si>
  <si>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</si>
  <si>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</si>
  <si>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</si>
  <si>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</si>
  <si>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</si>
  <si>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</si>
  <si>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</si>
  <si>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</si>
  <si>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</si>
  <si>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</si>
  <si>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</si>
  <si>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</si>
  <si>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</si>
  <si>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</si>
  <si>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</si>
  <si>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</si>
  <si>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</si>
  <si>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</si>
  <si>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</si>
  <si>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</si>
  <si>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</si>
  <si>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</si>
  <si>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</si>
  <si>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</si>
  <si>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</si>
  <si>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</si>
  <si>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</si>
  <si>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</si>
  <si>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</si>
  <si>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</si>
  <si>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</si>
  <si>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</si>
  <si>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</si>
  <si>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</si>
  <si>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</si>
  <si>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</si>
  <si>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</si>
  <si>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</si>
  <si>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</si>
  <si>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</si>
  <si>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</si>
  <si>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</si>
  <si>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</si>
  <si>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</si>
  <si>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</si>
  <si>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</si>
  <si>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</si>
  <si>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</si>
  <si>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</si>
  <si>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</si>
  <si>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</si>
  <si>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</si>
  <si>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</si>
  <si>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</si>
  <si>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</si>
  <si>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</si>
  <si>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</si>
  <si>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</si>
  <si>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</si>
  <si>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</si>
  <si>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</si>
  <si>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</si>
  <si>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</si>
  <si>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</si>
  <si>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</si>
  <si>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</si>
  <si>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</si>
  <si>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</si>
  <si>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</si>
  <si>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</si>
  <si>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</si>
  <si>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</si>
  <si>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</si>
  <si>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</si>
  <si>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</si>
  <si>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</si>
  <si>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</si>
  <si>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</si>
  <si>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</si>
  <si>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</si>
  <si>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</si>
  <si>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</si>
  <si>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</si>
  <si>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</si>
  <si>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</si>
  <si>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</si>
  <si>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</si>
  <si>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</si>
  <si>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</si>
  <si>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</si>
  <si>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</si>
  <si>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</si>
  <si>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</si>
  <si>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</si>
  <si>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</si>
  <si>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</si>
  <si>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</si>
  <si>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</si>
  <si>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</si>
  <si>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</si>
  <si>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</si>
  <si>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</si>
  <si>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</si>
  <si>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</si>
  <si>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</si>
  <si>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</si>
  <si>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</si>
  <si>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</si>
  <si>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</si>
  <si>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</si>
  <si>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</si>
  <si>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</si>
  <si>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</si>
  <si>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</si>
  <si>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</si>
  <si>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</si>
  <si>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</si>
  <si>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</si>
  <si>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</si>
  <si>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</si>
  <si>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</si>
  <si>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</si>
  <si>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</si>
  <si>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</si>
  <si>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</si>
  <si>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</si>
  <si>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</si>
  <si>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</si>
  <si>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</si>
  <si>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</si>
  <si>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</si>
  <si>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</si>
  <si>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</si>
  <si>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</si>
  <si>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</si>
  <si>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</si>
  <si>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</si>
  <si>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</si>
  <si>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</si>
  <si>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</si>
  <si>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</si>
  <si>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</si>
  <si>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</si>
  <si>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</si>
  <si>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</si>
  <si>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</si>
  <si>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</si>
  <si>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</si>
  <si>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</si>
  <si>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</si>
  <si>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</si>
  <si>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</si>
  <si>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</si>
  <si>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</si>
  <si>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</si>
  <si>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</si>
  <si>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</si>
  <si>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</si>
  <si>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</si>
  <si>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</si>
  <si>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</si>
  <si>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</si>
  <si>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</si>
  <si>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</si>
  <si>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</si>
  <si>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</si>
  <si>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</si>
  <si>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</si>
  <si>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</si>
  <si>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</si>
  <si>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</si>
  <si>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</si>
  <si>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</si>
  <si>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</si>
  <si>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</si>
  <si>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</si>
  <si>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</si>
  <si>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</si>
  <si>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</si>
  <si>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</si>
  <si>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</si>
  <si>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</si>
  <si>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</si>
  <si>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</si>
  <si>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</si>
  <si>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</si>
  <si>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</si>
  <si>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</si>
  <si>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</si>
  <si>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</si>
  <si>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</si>
  <si>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</si>
  <si>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</si>
  <si>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</si>
  <si>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</si>
  <si>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</si>
  <si>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</si>
  <si>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</si>
  <si>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</si>
  <si>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</si>
  <si>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</si>
  <si>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</si>
  <si>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</si>
  <si>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</si>
  <si>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</si>
  <si>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</si>
  <si>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</si>
  <si>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</si>
  <si>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</si>
  <si>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</si>
  <si>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</si>
  <si>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</si>
  <si>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</si>
  <si>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</si>
  <si>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</si>
  <si>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</si>
  <si>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</si>
  <si>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</si>
  <si>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</si>
  <si>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</si>
  <si>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</si>
  <si>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</si>
  <si>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</si>
  <si>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</si>
  <si>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</si>
  <si>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</si>
  <si>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</si>
  <si>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</si>
  <si>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</si>
  <si>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</si>
  <si>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</si>
  <si>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</si>
  <si>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</si>
  <si>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</si>
  <si>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</si>
  <si>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</si>
  <si>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</si>
  <si>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</si>
  <si>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</si>
  <si>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</si>
  <si>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</si>
  <si>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</si>
  <si>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</si>
  <si>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</si>
  <si>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</si>
  <si>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</si>
  <si>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</si>
  <si>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</si>
  <si>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</si>
  <si>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</si>
  <si>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</si>
  <si>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</si>
  <si>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</si>
  <si>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</si>
  <si>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</si>
  <si>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</si>
  <si>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</si>
  <si>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</si>
  <si>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</si>
  <si>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</si>
  <si>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</si>
  <si>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</si>
  <si>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</si>
  <si>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</si>
  <si>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</si>
  <si>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</si>
  <si>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</si>
  <si>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</si>
  <si>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</si>
  <si>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</si>
  <si>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</si>
  <si>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</si>
  <si>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</si>
  <si>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</si>
  <si>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</si>
  <si>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</si>
  <si>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</si>
  <si>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</si>
  <si>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</si>
  <si>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</si>
  <si>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</si>
  <si>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</si>
  <si>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</si>
  <si>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</si>
  <si>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</si>
  <si>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</si>
  <si>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</si>
  <si>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</si>
  <si>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</si>
  <si>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</si>
  <si>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</si>
  <si>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</si>
  <si>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</si>
  <si>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</si>
  <si>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</si>
  <si>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</si>
  <si>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</si>
  <si>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</si>
  <si>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</si>
  <si>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</si>
  <si>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</si>
  <si>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</si>
  <si>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</si>
  <si>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</si>
  <si>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</si>
  <si>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</si>
  <si>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</si>
  <si>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</si>
  <si>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</si>
  <si>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</si>
  <si>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</si>
  <si>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</si>
  <si>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</si>
  <si>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</si>
  <si>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</si>
  <si>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</si>
  <si>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</si>
  <si>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</si>
  <si>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</si>
  <si>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</si>
  <si>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</si>
  <si>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</si>
  <si>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</si>
  <si>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</si>
  <si>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</si>
  <si>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</si>
  <si>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</si>
  <si>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</si>
  <si>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</si>
  <si>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</si>
  <si>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</si>
  <si>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</si>
  <si>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</si>
  <si>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</si>
  <si>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</si>
  <si>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</si>
  <si>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</si>
  <si>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</si>
  <si>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</si>
  <si>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</si>
  <si>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</si>
  <si>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</si>
  <si>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</si>
  <si>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</si>
  <si>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</si>
  <si>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</si>
  <si>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</si>
  <si>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</si>
  <si>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</si>
  <si>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</si>
  <si>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</si>
  <si>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</si>
  <si>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</si>
  <si>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</si>
  <si>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</si>
  <si>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</si>
  <si>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</si>
  <si>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</si>
  <si>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</si>
  <si>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</si>
  <si>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</si>
  <si>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</si>
  <si>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</si>
  <si>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</si>
  <si>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</si>
  <si>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</si>
  <si>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</si>
  <si>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</si>
  <si>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</si>
  <si>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</si>
  <si>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</si>
  <si>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</si>
  <si>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</si>
  <si>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</si>
  <si>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</si>
  <si>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</si>
  <si>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</si>
  <si>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</si>
  <si>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</si>
  <si>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</si>
  <si>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</si>
  <si>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</si>
  <si>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</si>
  <si>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</si>
  <si>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</si>
  <si>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</si>
  <si>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</si>
  <si>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</si>
  <si>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</si>
  <si>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</si>
  <si>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</si>
  <si>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</si>
  <si>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</si>
  <si>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</si>
  <si>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</si>
  <si>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</si>
  <si>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</si>
  <si>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</si>
  <si>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</si>
  <si>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</si>
  <si>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</si>
  <si>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</si>
  <si>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</si>
  <si>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</si>
  <si>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</si>
  <si>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</si>
  <si>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</si>
  <si>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</si>
  <si>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</si>
  <si>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</si>
  <si>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</si>
  <si>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</si>
  <si>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</si>
  <si>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</si>
  <si>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</si>
  <si>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</si>
  <si>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</si>
  <si>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</si>
  <si>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</si>
  <si>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</si>
  <si>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</si>
  <si>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</si>
  <si>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</si>
  <si>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</si>
  <si>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</si>
  <si>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</si>
  <si>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</si>
  <si>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</si>
  <si>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</si>
  <si>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</si>
  <si>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</si>
  <si>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</si>
  <si>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</si>
  <si>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</si>
  <si>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</si>
  <si>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</si>
  <si>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</si>
  <si>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</si>
  <si>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</si>
  <si>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</si>
  <si>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</si>
  <si>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</si>
  <si>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</si>
  <si>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</si>
  <si>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</si>
  <si>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</si>
  <si>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</si>
  <si>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</si>
  <si>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</si>
  <si>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</si>
  <si>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</si>
  <si>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</si>
  <si>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</si>
  <si>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</si>
  <si>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</si>
  <si>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</si>
  <si>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</si>
  <si>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</si>
  <si>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</si>
  <si>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</si>
  <si>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</si>
  <si>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</si>
  <si>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</si>
  <si>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</si>
  <si>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</si>
  <si>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</si>
  <si>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</si>
  <si>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</si>
  <si>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</si>
  <si>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</si>
  <si>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</si>
  <si>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</si>
  <si>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</si>
  <si>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</si>
  <si>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</si>
  <si>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</si>
  <si>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</si>
  <si>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</si>
  <si>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</si>
  <si>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</si>
  <si>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</si>
  <si>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</si>
  <si>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</si>
  <si>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</si>
  <si>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</si>
  <si>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</si>
  <si>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</si>
  <si>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</si>
  <si>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</si>
  <si>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</si>
  <si>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</si>
  <si>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</si>
  <si>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</si>
  <si>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</si>
  <si>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</si>
  <si>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</si>
  <si>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</si>
  <si>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</si>
  <si>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</si>
  <si>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</si>
  <si>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</si>
  <si>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</si>
  <si>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</si>
  <si>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</si>
  <si>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</si>
  <si>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</si>
  <si>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</si>
  <si>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</si>
  <si>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</si>
  <si>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</si>
  <si>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</si>
  <si>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</si>
  <si>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</si>
  <si>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</si>
  <si>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</si>
  <si>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</si>
  <si>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</si>
  <si>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</si>
  <si>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</si>
  <si>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</si>
  <si>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</si>
  <si>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</si>
  <si>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</si>
  <si>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</si>
  <si>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</si>
  <si>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</si>
  <si>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</si>
  <si>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</si>
  <si>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</si>
  <si>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</si>
  <si>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</si>
  <si>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</si>
  <si>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</si>
  <si>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</si>
  <si>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</si>
  <si>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</si>
  <si>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</si>
  <si>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</si>
  <si>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</si>
  <si>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</si>
  <si>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</si>
  <si>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</si>
  <si>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</si>
  <si>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</si>
  <si>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</si>
  <si>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</si>
  <si>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</si>
  <si>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</si>
  <si>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</si>
  <si>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</si>
  <si>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</si>
  <si>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</si>
  <si>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</si>
  <si>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</si>
  <si>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</si>
  <si>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</si>
  <si>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</si>
  <si>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</si>
  <si>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</si>
  <si>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</si>
  <si>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</si>
  <si>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</si>
  <si>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</si>
  <si>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</si>
  <si>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</si>
  <si>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</si>
  <si>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</si>
  <si>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</si>
  <si>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</si>
  <si>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</si>
  <si>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</si>
  <si>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</si>
  <si>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</si>
  <si>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</si>
  <si>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</si>
  <si>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</si>
  <si>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</si>
  <si>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</si>
  <si>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</si>
  <si>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</si>
  <si>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</si>
  <si>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</si>
  <si>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</si>
  <si>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</si>
  <si>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</si>
  <si>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</si>
  <si>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</si>
  <si>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</si>
  <si>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</si>
  <si>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</si>
  <si>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</si>
  <si>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</si>
  <si>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</si>
  <si>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</si>
  <si>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</si>
  <si>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</si>
  <si>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</si>
  <si>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</si>
  <si>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</si>
  <si>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</si>
  <si>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</si>
  <si>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</si>
  <si>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</si>
  <si>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</si>
  <si>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</si>
  <si>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</si>
  <si>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</si>
  <si>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</si>
  <si>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</si>
  <si>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</si>
  <si>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</si>
  <si>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</si>
  <si>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</si>
  <si>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</si>
  <si>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</si>
  <si>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</si>
  <si>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</si>
  <si>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</si>
  <si>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</si>
  <si>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</si>
  <si>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</si>
  <si>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</si>
  <si>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</si>
  <si>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</si>
  <si>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</si>
  <si>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</si>
  <si>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</si>
  <si>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</si>
  <si>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</si>
  <si>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</si>
  <si>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</si>
  <si>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</si>
  <si>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</si>
  <si>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</si>
  <si>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</si>
  <si>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</si>
  <si>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</si>
  <si>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</si>
  <si>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</si>
  <si>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</si>
  <si>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</si>
  <si>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</si>
  <si>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</si>
  <si>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</si>
  <si>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</si>
  <si>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</si>
  <si>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</si>
  <si>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</si>
  <si>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</si>
  <si>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</si>
  <si>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</si>
  <si>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</si>
  <si>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</si>
  <si>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</si>
  <si>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</si>
  <si>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</si>
  <si>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</si>
  <si>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</si>
  <si>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</si>
  <si>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</si>
  <si>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</si>
  <si>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</si>
  <si>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</si>
  <si>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</si>
  <si>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</si>
  <si>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</si>
  <si>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</si>
  <si>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</si>
  <si>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</si>
  <si>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</si>
  <si>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</si>
  <si>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</si>
  <si>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</si>
  <si>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</si>
  <si>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</si>
  <si>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</si>
  <si>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</si>
  <si>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</si>
  <si>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</si>
  <si>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</si>
  <si>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</si>
  <si>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</si>
  <si>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</si>
  <si>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</si>
  <si>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</si>
  <si>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</si>
  <si>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</si>
  <si>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</si>
  <si>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</si>
  <si>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</si>
  <si>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</si>
  <si>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</si>
  <si>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</si>
  <si>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</si>
  <si>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</si>
  <si>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</si>
  <si>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</si>
  <si>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</si>
  <si>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</si>
  <si>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</si>
  <si>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</si>
  <si>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</si>
  <si>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</si>
  <si>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</si>
  <si>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</si>
  <si>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</si>
  <si>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</si>
  <si>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</si>
  <si>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</si>
  <si>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</si>
  <si>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</si>
  <si>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</si>
  <si>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</si>
  <si>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</si>
  <si>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</si>
  <si>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</si>
  <si>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</si>
  <si>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</si>
  <si>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</si>
  <si>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</si>
  <si>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</si>
  <si>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</si>
  <si>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</si>
  <si>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</si>
  <si>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</si>
  <si>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</si>
  <si>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</si>
  <si>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</si>
  <si>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</si>
  <si>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</si>
  <si>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</si>
  <si>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</si>
  <si>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</si>
  <si>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</si>
  <si>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</si>
  <si>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</si>
  <si>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</si>
  <si>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</si>
  <si>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</si>
  <si>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</si>
  <si>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</si>
  <si>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</si>
  <si>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</si>
  <si>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</si>
  <si>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</si>
  <si>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</si>
  <si>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</si>
  <si>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</si>
  <si>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</si>
  <si>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</si>
  <si>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</si>
  <si>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</si>
  <si>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</si>
  <si>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</si>
  <si>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</si>
  <si>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</si>
  <si>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</si>
  <si>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</si>
  <si>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</si>
  <si>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</si>
  <si>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</si>
  <si>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</si>
  <si>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</si>
  <si>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</si>
  <si>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</si>
  <si>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</si>
  <si>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</si>
  <si>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</si>
  <si>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</si>
  <si>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</si>
  <si>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</si>
  <si>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</si>
  <si>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</si>
  <si>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</si>
  <si>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</si>
  <si>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</si>
  <si>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</si>
  <si>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</si>
  <si>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</si>
  <si>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</si>
  <si>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</si>
  <si>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</si>
  <si>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</si>
  <si>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</si>
  <si>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</si>
  <si>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</si>
  <si>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</si>
  <si>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</si>
  <si>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</si>
  <si>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</si>
  <si>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</si>
  <si>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</si>
  <si>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</si>
  <si>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</si>
  <si>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</si>
  <si>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</si>
  <si>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</si>
  <si>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</si>
  <si>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</si>
  <si>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</si>
  <si>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</si>
  <si>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</si>
  <si>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</si>
  <si>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</si>
  <si>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</si>
  <si>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</si>
  <si>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</si>
  <si>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</si>
  <si>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</si>
  <si>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</si>
  <si>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</si>
  <si>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</si>
  <si>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</si>
  <si>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</si>
  <si>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</si>
  <si>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</si>
  <si>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</si>
  <si>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</si>
  <si>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</si>
  <si>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</si>
  <si>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</si>
  <si>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</si>
  <si>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</si>
  <si>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</si>
  <si>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</si>
  <si>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</si>
  <si>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</si>
  <si>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</si>
  <si>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</si>
  <si>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</si>
  <si>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</si>
  <si>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</si>
  <si>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</si>
  <si>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</si>
  <si>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</si>
  <si>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</si>
  <si>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</si>
  <si>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</si>
  <si>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</si>
  <si>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</si>
  <si>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</si>
  <si>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</si>
  <si>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</si>
  <si>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</si>
  <si>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</si>
  <si>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</si>
  <si>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</si>
  <si>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</si>
  <si>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</si>
  <si>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</si>
  <si>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</si>
  <si>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</si>
  <si>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</si>
  <si>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</si>
  <si>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</si>
  <si>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</si>
  <si>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</si>
  <si>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</si>
  <si>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</si>
  <si>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</si>
  <si>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</si>
  <si>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</si>
  <si>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</si>
  <si>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</si>
  <si>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</si>
  <si>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</si>
  <si>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</si>
  <si>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</si>
  <si>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</si>
  <si>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</si>
  <si>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</si>
  <si>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</si>
  <si>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</si>
  <si>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</si>
  <si>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</si>
  <si>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</si>
  <si>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</si>
  <si>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</si>
  <si>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</si>
  <si>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</si>
  <si>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</si>
  <si>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</si>
  <si>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</si>
  <si>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</si>
  <si>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</si>
  <si>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</si>
  <si>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</si>
  <si>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</si>
  <si>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</si>
  <si>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</si>
  <si>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</si>
  <si>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</si>
  <si>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</si>
  <si>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</si>
  <si>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</si>
  <si>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</si>
  <si>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</si>
  <si>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</si>
  <si>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</si>
  <si>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</si>
  <si>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</si>
  <si>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</si>
  <si>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</si>
  <si>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</si>
  <si>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</si>
  <si>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</si>
  <si>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</si>
  <si>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</si>
  <si>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</si>
  <si>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</si>
  <si>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</si>
  <si>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</si>
  <si>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</si>
  <si>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</si>
  <si>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</si>
  <si>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</si>
  <si>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</si>
  <si>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</si>
  <si>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</si>
  <si>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</si>
  <si>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</si>
  <si>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</si>
  <si>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</si>
  <si>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</si>
  <si>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</si>
  <si>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</si>
  <si>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</si>
  <si>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</si>
  <si>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</si>
  <si>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</si>
  <si>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</si>
  <si>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</si>
  <si>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</si>
  <si>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</si>
  <si>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</si>
  <si>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</si>
  <si>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</si>
  <si>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</si>
  <si>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</si>
  <si>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</si>
  <si>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</si>
  <si>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</si>
  <si>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</si>
  <si>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</si>
  <si>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</si>
  <si>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</si>
  <si>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</si>
  <si>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</si>
  <si>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</si>
  <si>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</si>
  <si>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</si>
  <si>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</si>
  <si>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</si>
  <si>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</si>
  <si>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</si>
  <si>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</si>
  <si>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</si>
  <si>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</si>
  <si>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</si>
  <si>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</si>
  <si>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</si>
  <si>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</si>
  <si>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</si>
  <si>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</si>
  <si>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</si>
  <si>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</si>
  <si>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</si>
  <si>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</si>
  <si>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</si>
  <si>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</si>
  <si>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</si>
  <si>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</si>
  <si>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</si>
  <si>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</si>
  <si>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</si>
  <si>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</si>
  <si>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</si>
  <si>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</si>
  <si>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</si>
  <si>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</si>
  <si>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</si>
  <si>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</si>
  <si>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</si>
  <si>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</si>
  <si>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</si>
  <si>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</si>
  <si>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</si>
  <si>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</si>
  <si>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</si>
  <si>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</si>
  <si>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</si>
  <si>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</si>
  <si>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</si>
  <si>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</si>
  <si>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</si>
  <si>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</si>
  <si>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</si>
  <si>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</si>
  <si>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</si>
  <si>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</si>
  <si>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</si>
  <si>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</si>
  <si>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</si>
  <si>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</si>
  <si>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</si>
  <si>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</si>
  <si>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</si>
  <si>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</si>
  <si>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</si>
  <si>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</si>
  <si>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</si>
  <si>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</si>
  <si>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</si>
  <si>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</si>
  <si>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</si>
  <si>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</si>
  <si>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</si>
  <si>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</si>
  <si>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</si>
  <si>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</si>
  <si>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</si>
  <si>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</si>
  <si>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</si>
  <si>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</si>
  <si>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</si>
  <si>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</si>
  <si>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</si>
  <si>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</si>
  <si>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</si>
  <si>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</si>
  <si>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</si>
  <si>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</si>
  <si>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</si>
  <si>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</si>
  <si>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</si>
  <si>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</si>
  <si>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</si>
  <si>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</si>
  <si>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</si>
  <si>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</si>
  <si>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</si>
  <si>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</si>
  <si>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</si>
  <si>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</si>
  <si>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</si>
  <si>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</si>
  <si>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</si>
  <si>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</si>
  <si>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</si>
  <si>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</si>
  <si>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</si>
  <si>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</si>
  <si>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</si>
  <si>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</si>
  <si>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</si>
  <si>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</si>
  <si>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</si>
  <si>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</si>
  <si>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</si>
  <si>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</si>
  <si>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</si>
  <si>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</si>
  <si>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</si>
  <si>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</si>
  <si>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</si>
  <si>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</si>
  <si>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</si>
  <si>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</si>
  <si>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</si>
  <si>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</si>
  <si>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</si>
  <si>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</si>
  <si>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</si>
  <si>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</si>
  <si>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</si>
  <si>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</si>
  <si>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</si>
  <si>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</si>
  <si>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</si>
  <si>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</si>
  <si>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</si>
  <si>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</si>
  <si>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</si>
  <si>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</si>
  <si>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</si>
  <si>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</si>
  <si>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</si>
  <si>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</si>
  <si>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</si>
  <si>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</si>
  <si>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</si>
  <si>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</si>
  <si>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</si>
  <si>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</si>
  <si>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</si>
  <si>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</si>
  <si>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</si>
  <si>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</si>
  <si>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</si>
  <si>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</si>
  <si>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</si>
  <si>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</si>
  <si>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</si>
  <si>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</si>
  <si>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</si>
  <si>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</si>
  <si>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</si>
  <si>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</si>
  <si>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</si>
  <si>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</si>
  <si>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</si>
  <si>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</si>
  <si>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</si>
  <si>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</si>
  <si>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</si>
  <si>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</si>
  <si>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</si>
  <si>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</si>
  <si>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</si>
  <si>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</si>
  <si>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</si>
  <si>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</si>
  <si>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</si>
  <si>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</si>
  <si>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</si>
  <si>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</si>
  <si>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</si>
  <si>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</si>
  <si>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</si>
  <si>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</si>
  <si>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</si>
  <si>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</si>
  <si>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</si>
  <si>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</si>
  <si>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</si>
  <si>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</si>
  <si>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</si>
  <si>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</si>
  <si>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</si>
  <si>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</si>
  <si>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</si>
  <si>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</si>
  <si>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</si>
  <si>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</si>
  <si>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</si>
  <si>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</si>
  <si>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</si>
  <si>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</si>
  <si>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</si>
  <si>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</si>
  <si>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</si>
  <si>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</si>
  <si>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</si>
  <si>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</si>
  <si>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</si>
  <si>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</si>
  <si>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</si>
  <si>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</si>
  <si>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</si>
  <si>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</si>
  <si>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</si>
  <si>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</si>
  <si>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</si>
  <si>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</si>
  <si>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</si>
  <si>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</si>
  <si>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</si>
  <si>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</si>
  <si>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</si>
  <si>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</si>
  <si>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</si>
  <si>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</si>
  <si>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</si>
  <si>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</si>
  <si>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</si>
  <si>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</si>
  <si>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</si>
  <si>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</si>
  <si>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</si>
  <si>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</si>
  <si>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</si>
  <si>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</si>
  <si>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</si>
  <si>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</si>
  <si>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</si>
  <si>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</si>
  <si>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</si>
  <si>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</si>
  <si>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</si>
  <si>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</si>
  <si>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</si>
  <si>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</si>
  <si>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</si>
  <si>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</si>
  <si>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</si>
  <si>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</si>
  <si>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</si>
  <si>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</si>
  <si>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</si>
  <si>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</si>
  <si>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</si>
  <si>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</si>
  <si>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</si>
  <si>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</si>
  <si>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</si>
  <si>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</si>
  <si>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</si>
  <si>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</si>
  <si>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</si>
  <si>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</si>
  <si>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</si>
  <si>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</si>
  <si>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</si>
  <si>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</si>
  <si>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</si>
  <si>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</si>
  <si>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</si>
  <si>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</si>
  <si>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</si>
  <si>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</si>
  <si>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</si>
  <si>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</si>
  <si>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</si>
  <si>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</si>
  <si>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</si>
  <si>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</si>
  <si>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</si>
  <si>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</si>
  <si>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</si>
  <si>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</si>
  <si>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</si>
  <si>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</si>
  <si>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</si>
  <si>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</si>
  <si>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</si>
  <si>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</si>
  <si>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</si>
  <si>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</si>
  <si>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</si>
  <si>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</si>
  <si>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</si>
  <si>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</si>
  <si>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</si>
  <si>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</si>
  <si>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</si>
  <si>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</si>
  <si>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</si>
  <si>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</si>
  <si>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</si>
  <si>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</si>
  <si>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</si>
  <si>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</si>
  <si>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</si>
  <si>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</si>
  <si>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</si>
  <si>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</si>
  <si>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</si>
  <si>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</si>
  <si>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</si>
  <si>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</si>
  <si>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</si>
  <si>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</si>
  <si>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</si>
  <si>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</si>
  <si>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</si>
  <si>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</si>
  <si>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</si>
  <si>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</si>
  <si>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</si>
  <si>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</si>
  <si>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</si>
  <si>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</si>
  <si>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</si>
  <si>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</si>
  <si>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</si>
  <si>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</si>
  <si>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</si>
  <si>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</si>
  <si>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</si>
  <si>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</si>
  <si>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</si>
  <si>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</si>
  <si>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</si>
  <si>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</si>
  <si>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</si>
  <si>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</si>
  <si>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</si>
  <si>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</si>
  <si>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</si>
  <si>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</si>
  <si>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</si>
  <si>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</si>
  <si>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</si>
  <si>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</si>
  <si>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</si>
  <si>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</si>
  <si>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</si>
  <si>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</si>
  <si>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</si>
  <si>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</si>
  <si>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</si>
  <si>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</si>
  <si>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</si>
  <si>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</si>
  <si>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</si>
  <si>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</si>
  <si>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</si>
  <si>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</si>
  <si>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</si>
  <si>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</si>
  <si>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</si>
  <si>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</si>
  <si>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</si>
  <si>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</si>
  <si>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</si>
  <si>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</si>
  <si>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</si>
  <si>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</si>
  <si>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</si>
  <si>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</si>
  <si>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</si>
  <si>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</si>
  <si>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</si>
  <si>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</si>
  <si>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</si>
  <si>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</si>
  <si>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</si>
  <si>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</si>
  <si>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</si>
  <si>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</si>
  <si>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</si>
  <si>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</si>
  <si>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</si>
  <si>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</si>
  <si>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</si>
  <si>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</si>
  <si>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</si>
  <si>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</si>
  <si>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</si>
  <si>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</si>
  <si>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</si>
  <si>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</si>
  <si>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</si>
  <si>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</si>
  <si>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</si>
  <si>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</si>
  <si>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</si>
  <si>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</si>
  <si>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</si>
  <si>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</si>
  <si>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</si>
  <si>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</si>
  <si>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</si>
  <si>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</si>
  <si>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</si>
  <si>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</si>
  <si>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</si>
  <si>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</si>
  <si>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</si>
  <si>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</si>
  <si>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</si>
  <si>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</si>
  <si>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</si>
  <si>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</si>
  <si>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</si>
  <si>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</si>
  <si>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</si>
  <si>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</si>
  <si>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</si>
  <si>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</si>
  <si>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</si>
  <si>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</si>
  <si>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</si>
  <si>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</si>
  <si>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</si>
  <si>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</si>
  <si>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</si>
  <si>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</si>
  <si>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</si>
  <si>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</si>
  <si>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</si>
  <si>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</si>
  <si>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</si>
  <si>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</si>
  <si>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</si>
  <si>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</si>
  <si>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</si>
  <si>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</si>
  <si>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</si>
  <si>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</si>
  <si>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</si>
  <si>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</si>
  <si>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</si>
  <si>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</si>
  <si>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</si>
  <si>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</si>
  <si>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</si>
  <si>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</si>
  <si>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</si>
  <si>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</si>
  <si>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</si>
  <si>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</si>
  <si>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</si>
  <si>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</si>
  <si>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</si>
  <si>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</si>
  <si>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</si>
  <si>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</si>
  <si>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</si>
  <si>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</si>
  <si>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</si>
  <si>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</si>
  <si>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</si>
  <si>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</si>
  <si>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</si>
  <si>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</si>
  <si>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</si>
  <si>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</si>
  <si>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</si>
  <si>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</si>
  <si>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</si>
  <si>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</si>
  <si>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</si>
  <si>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</si>
  <si>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</si>
  <si>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</si>
  <si>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</si>
  <si>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</si>
  <si>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</si>
  <si>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</si>
  <si>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</si>
  <si>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</si>
  <si>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</si>
  <si>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</si>
  <si>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</si>
  <si>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</si>
  <si>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</si>
  <si>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</si>
  <si>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</si>
  <si>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</si>
  <si>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</si>
  <si>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</si>
  <si>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</si>
  <si>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</si>
  <si>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</si>
  <si>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</si>
  <si>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</si>
  <si>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</si>
  <si>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</si>
  <si>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</si>
  <si>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</si>
  <si>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</si>
  <si>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</si>
  <si>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</si>
  <si>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</si>
  <si>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</si>
  <si>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</si>
  <si>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</si>
  <si>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</si>
  <si>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</si>
  <si>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</si>
  <si>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</si>
  <si>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</si>
  <si>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</si>
  <si>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</si>
  <si>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</si>
  <si>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</si>
  <si>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</si>
  <si>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</si>
  <si>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</si>
  <si>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</si>
  <si>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</si>
  <si>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</si>
  <si>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</si>
  <si>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</si>
  <si>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</si>
  <si>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</si>
  <si>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</si>
  <si>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</si>
  <si>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</si>
  <si>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</si>
  <si>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</si>
  <si>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</si>
  <si>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</si>
  <si>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</si>
  <si>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</si>
  <si>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</si>
  <si>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</si>
  <si>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</si>
  <si>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</si>
  <si>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</si>
  <si>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</si>
  <si>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</si>
  <si>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</si>
  <si>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</si>
  <si>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</si>
  <si>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</si>
  <si>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</si>
  <si>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</si>
  <si>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</si>
  <si>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</si>
  <si>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</si>
  <si>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</si>
  <si>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</si>
  <si>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</si>
  <si>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</si>
  <si>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</si>
  <si>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</si>
  <si>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</si>
  <si>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</si>
  <si>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</si>
  <si>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</si>
  <si>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</si>
  <si>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</si>
  <si>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</si>
  <si>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</si>
  <si>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</si>
  <si>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</si>
  <si>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</si>
  <si>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</si>
  <si>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</si>
  <si>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</si>
  <si>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</si>
  <si>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</si>
  <si>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</si>
  <si>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</si>
  <si>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</si>
  <si>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</si>
  <si>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</si>
  <si>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</si>
  <si>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</si>
  <si>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</si>
  <si>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</si>
  <si>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</si>
  <si>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</si>
  <si>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</si>
  <si>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</si>
  <si>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</si>
  <si>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</si>
  <si>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</si>
  <si>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</si>
  <si>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</si>
  <si>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</si>
  <si>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</si>
  <si>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</si>
  <si>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</si>
  <si>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</si>
  <si>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</si>
  <si>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</si>
  <si>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</si>
  <si>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</si>
  <si>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</si>
  <si>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</si>
  <si>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</si>
  <si>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</si>
  <si>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</si>
  <si>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</si>
  <si>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</si>
  <si>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</si>
  <si>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</si>
  <si>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</si>
  <si>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</si>
  <si>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</si>
  <si>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</si>
  <si>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</si>
  <si>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</si>
  <si>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</si>
  <si>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</si>
  <si>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</si>
  <si>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</si>
  <si>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</si>
  <si>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</si>
  <si>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</si>
  <si>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</si>
  <si>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</si>
  <si>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</si>
  <si>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</si>
  <si>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</si>
  <si>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</si>
  <si>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</si>
  <si>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</si>
  <si>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</si>
  <si>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</si>
  <si>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</si>
  <si>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</si>
  <si>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</si>
  <si>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</si>
  <si>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</si>
  <si>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</si>
  <si>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</si>
  <si>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</si>
  <si>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</si>
  <si>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</si>
  <si>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</si>
  <si>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</si>
  <si>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</si>
  <si>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</si>
  <si>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</si>
  <si>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</si>
  <si>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</si>
  <si>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</si>
  <si>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</si>
  <si>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</si>
  <si>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</si>
  <si>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</si>
  <si>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</si>
  <si>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</si>
  <si>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</si>
  <si>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</si>
  <si>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</si>
  <si>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</si>
  <si>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</si>
  <si>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</si>
  <si>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</si>
  <si>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</si>
  <si>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</si>
  <si>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</si>
  <si>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</si>
  <si>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</si>
  <si>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</si>
  <si>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</si>
  <si>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</si>
  <si>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</si>
  <si>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</si>
  <si>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</si>
  <si>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</si>
  <si>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</si>
  <si>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</si>
  <si>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</si>
  <si>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</si>
  <si>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</si>
  <si>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</si>
  <si>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</si>
  <si>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</si>
  <si>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</si>
  <si>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</si>
  <si>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</si>
  <si>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</si>
  <si>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</si>
  <si>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</si>
  <si>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</si>
  <si>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</si>
  <si>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</si>
  <si>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</si>
  <si>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</si>
  <si>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</si>
  <si>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</si>
  <si>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</si>
  <si>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</si>
  <si>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</si>
  <si>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</si>
  <si>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</si>
  <si>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</si>
  <si>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</si>
  <si>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</si>
  <si>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</si>
  <si>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</si>
  <si>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</si>
  <si>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</si>
  <si>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</si>
  <si>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</si>
  <si>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</si>
  <si>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</si>
  <si>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</si>
  <si>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</si>
  <si>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</si>
  <si>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</si>
  <si>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</si>
  <si>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</si>
  <si>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</si>
  <si>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</si>
  <si>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</si>
  <si>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</si>
  <si>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</si>
  <si>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</si>
  <si>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</si>
  <si>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</si>
  <si>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</si>
  <si>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</si>
  <si>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</si>
  <si>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</si>
  <si>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</si>
  <si>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</si>
  <si>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</si>
  <si>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</si>
  <si>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</si>
  <si>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</si>
  <si>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</si>
  <si>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</si>
  <si>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</si>
  <si>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</si>
  <si>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</si>
  <si>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</si>
  <si>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</si>
  <si>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</si>
  <si>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</si>
  <si>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</si>
  <si>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</si>
  <si>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</si>
  <si>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</si>
  <si>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</si>
  <si>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</si>
  <si>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</si>
  <si>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</si>
  <si>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</si>
  <si>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</si>
  <si>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</si>
  <si>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</si>
  <si>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</si>
  <si>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</si>
  <si>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</si>
  <si>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</si>
  <si>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</si>
  <si>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</si>
  <si>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</si>
  <si>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</si>
  <si>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</si>
  <si>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</si>
  <si>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</si>
  <si>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</si>
  <si>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</si>
  <si>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</si>
  <si>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</si>
  <si>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</si>
  <si>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</si>
  <si>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</si>
  <si>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</si>
  <si>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</si>
  <si>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</si>
  <si>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</si>
  <si>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</si>
  <si>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</si>
  <si>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</si>
  <si>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</si>
  <si>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</si>
  <si>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</si>
  <si>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</si>
  <si>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</si>
  <si>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</si>
  <si>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</si>
  <si>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</si>
  <si>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</si>
  <si>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</si>
  <si>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</si>
  <si>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</si>
  <si>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</si>
  <si>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</si>
  <si>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</si>
  <si>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</si>
  <si>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</si>
  <si>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</si>
  <si>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</si>
  <si>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</si>
  <si>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</si>
  <si>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</si>
  <si>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</si>
  <si>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</si>
  <si>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</si>
  <si>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</si>
  <si>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</si>
  <si>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</si>
  <si>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</si>
  <si>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</si>
  <si>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</si>
  <si>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</si>
  <si>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</si>
  <si>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</si>
  <si>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</si>
  <si>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</si>
  <si>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</si>
  <si>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</si>
  <si>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</si>
  <si>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</si>
  <si>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</si>
  <si>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</si>
  <si>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</si>
  <si>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</si>
  <si>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</si>
  <si>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</si>
  <si>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</si>
  <si>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</si>
  <si>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</si>
  <si>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</si>
  <si>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</si>
  <si>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</si>
  <si>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</si>
  <si>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</si>
  <si>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</si>
  <si>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</si>
  <si>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</si>
  <si>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</si>
  <si>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</si>
  <si>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</si>
  <si>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</si>
  <si>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</si>
  <si>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</si>
  <si>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</si>
  <si>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</si>
  <si>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</si>
  <si>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</si>
  <si>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</si>
  <si>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</si>
  <si>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</si>
  <si>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</si>
  <si>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</si>
  <si>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</si>
  <si>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</si>
  <si>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</si>
  <si>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</si>
  <si>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</si>
  <si>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</si>
  <si>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</si>
  <si>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</si>
  <si>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</si>
  <si>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</si>
  <si>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</si>
  <si>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</si>
  <si>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</si>
  <si>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</si>
  <si>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</si>
  <si>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</si>
  <si>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</si>
  <si>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</si>
  <si>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</si>
  <si>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</si>
  <si>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</si>
  <si>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</si>
  <si>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</si>
  <si>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</si>
  <si>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</si>
  <si>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</si>
  <si>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</si>
  <si>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</si>
  <si>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</si>
  <si>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</si>
  <si>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</si>
  <si>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</si>
  <si>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</si>
  <si>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</si>
  <si>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</si>
  <si>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</si>
  <si>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</si>
  <si>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</si>
  <si>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</si>
  <si>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</si>
  <si>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</si>
  <si>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</si>
  <si>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</si>
  <si>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</si>
  <si>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</si>
  <si>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</si>
  <si>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</si>
  <si>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</si>
  <si>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</si>
  <si>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</si>
  <si>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</si>
  <si>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</si>
  <si>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</si>
  <si>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</si>
  <si>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</si>
  <si>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</si>
  <si>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</si>
  <si>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</si>
  <si>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</si>
  <si>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</si>
  <si>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</si>
  <si>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</si>
  <si>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</si>
  <si>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</si>
  <si>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</si>
  <si>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</si>
  <si>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</si>
  <si>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</si>
  <si>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</si>
  <si>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</si>
  <si>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</si>
  <si>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</si>
  <si>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</si>
  <si>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</si>
  <si>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</si>
  <si>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</si>
  <si>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</si>
  <si>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</si>
  <si>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</si>
  <si>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</si>
  <si>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</si>
  <si>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</si>
  <si>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</si>
  <si>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</si>
  <si>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</si>
  <si>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</si>
  <si>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</si>
  <si>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</si>
  <si>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</si>
  <si>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</si>
  <si>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</si>
  <si>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</si>
  <si>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</si>
  <si>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</si>
  <si>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</si>
  <si>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</si>
  <si>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</si>
  <si>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</si>
  <si>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</si>
  <si>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</si>
  <si>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</si>
  <si>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</si>
  <si>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</si>
  <si>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</si>
  <si>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</si>
  <si>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</si>
  <si>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</si>
  <si>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</si>
  <si>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</si>
  <si>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</si>
  <si>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</si>
  <si>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</si>
  <si>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</si>
  <si>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</si>
  <si>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</si>
  <si>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</si>
  <si>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</si>
  <si>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</si>
  <si>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</si>
  <si>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</si>
  <si>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</si>
  <si>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</si>
  <si>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</si>
  <si>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</si>
  <si>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</si>
  <si>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</si>
  <si>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</si>
  <si>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</si>
  <si>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</si>
  <si>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</si>
  <si>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</si>
  <si>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</si>
  <si>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</si>
  <si>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</si>
  <si>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</si>
  <si>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</si>
  <si>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</si>
  <si>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</si>
  <si>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</si>
  <si>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</si>
  <si>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</si>
  <si>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</si>
  <si>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</si>
  <si>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</si>
  <si>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</si>
  <si>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</si>
  <si>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</si>
  <si>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</si>
  <si>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</si>
  <si>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</si>
  <si>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</si>
  <si>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</si>
  <si>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</si>
  <si>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</si>
  <si>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</si>
  <si>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</si>
  <si>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</si>
  <si>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</si>
  <si>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</si>
  <si>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</si>
  <si>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</si>
  <si>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</si>
  <si>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</si>
  <si>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</si>
  <si>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</si>
  <si>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</si>
  <si>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</si>
  <si>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</si>
  <si>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</si>
  <si>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</si>
  <si>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</si>
  <si>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</si>
  <si>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</si>
  <si>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</si>
  <si>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</si>
  <si>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</si>
  <si>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</si>
  <si>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</si>
  <si>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</si>
  <si>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</si>
  <si>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</si>
  <si>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</si>
  <si>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</si>
  <si>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</si>
  <si>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</si>
  <si>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</si>
  <si>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</si>
  <si>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</si>
  <si>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</si>
  <si>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</si>
  <si>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</si>
  <si>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</si>
  <si>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</si>
  <si>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</si>
  <si>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</si>
  <si>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</si>
  <si>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</si>
  <si>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</si>
  <si>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</si>
  <si>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</si>
  <si>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</si>
  <si>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</si>
  <si>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</si>
  <si>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</si>
  <si>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</si>
  <si>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</si>
  <si>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</si>
  <si>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</si>
  <si>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</si>
  <si>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</si>
  <si>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</si>
  <si>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</si>
  <si>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</si>
  <si>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</si>
  <si>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</si>
  <si>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</si>
  <si>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</si>
  <si>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</si>
  <si>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</si>
  <si>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</si>
  <si>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</si>
  <si>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</si>
  <si>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</si>
  <si>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</si>
  <si>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</si>
  <si>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</si>
  <si>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</si>
  <si>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</si>
  <si>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</si>
  <si>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</si>
  <si>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</si>
  <si>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</si>
  <si>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</si>
  <si>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</si>
  <si>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</si>
  <si>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</si>
  <si>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</si>
  <si>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</si>
  <si>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</si>
  <si>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</si>
  <si>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</si>
  <si>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</si>
  <si>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</si>
  <si>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</si>
  <si>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</si>
  <si>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</si>
  <si>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</si>
  <si>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</si>
  <si>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</si>
  <si>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</si>
  <si>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</si>
  <si>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</si>
  <si>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</si>
  <si>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</si>
  <si>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</si>
  <si>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</si>
  <si>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</si>
  <si>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</si>
  <si>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</si>
  <si>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</si>
  <si>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</si>
  <si>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</si>
  <si>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</si>
  <si>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</si>
  <si>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</si>
  <si>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</si>
  <si>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</si>
  <si>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</si>
  <si>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</si>
  <si>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</si>
  <si>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</si>
  <si>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</si>
  <si>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</si>
  <si>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</si>
  <si>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</si>
  <si>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</si>
  <si>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</si>
  <si>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</si>
  <si>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</si>
  <si>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</si>
  <si>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</si>
  <si>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</si>
  <si>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</si>
  <si>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</si>
  <si>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</si>
  <si>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</si>
  <si>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</si>
  <si>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</si>
  <si>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</si>
  <si>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</si>
  <si>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</si>
  <si>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</si>
  <si>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</si>
  <si>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</si>
  <si>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</si>
  <si>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</si>
  <si>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</si>
  <si>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</si>
  <si>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</si>
  <si>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</si>
  <si>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</si>
  <si>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</si>
  <si>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</si>
  <si>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</si>
  <si>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</si>
  <si>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</si>
  <si>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</si>
  <si>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</si>
  <si>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</si>
  <si>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</si>
  <si>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</si>
  <si>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</si>
  <si>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</si>
  <si>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</si>
  <si>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</si>
  <si>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</si>
  <si>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</si>
  <si>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</si>
  <si>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</si>
  <si>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</si>
  <si>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</si>
  <si>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</si>
  <si>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</si>
  <si>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</si>
  <si>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</si>
  <si>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</si>
  <si>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</si>
  <si>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</si>
  <si>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</si>
  <si>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</si>
  <si>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</si>
  <si>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</si>
  <si>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</si>
  <si>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</si>
  <si>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</si>
  <si>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</si>
  <si>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</si>
  <si>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</si>
  <si>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</si>
  <si>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</si>
  <si>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</si>
  <si>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</si>
  <si>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</si>
  <si>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</si>
  <si>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</si>
  <si>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</si>
  <si>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</si>
  <si>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</si>
  <si>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</si>
  <si>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</si>
  <si>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</si>
  <si>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</si>
  <si>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</si>
  <si>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</si>
  <si>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</si>
  <si>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</si>
  <si>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</si>
  <si>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</si>
  <si>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</si>
  <si>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</si>
  <si>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</si>
  <si>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</si>
  <si>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</si>
  <si>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</si>
  <si>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</si>
  <si>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</si>
  <si>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</si>
  <si>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</si>
  <si>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</si>
  <si>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</si>
  <si>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</si>
  <si>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</si>
  <si>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</si>
  <si>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</si>
  <si>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</si>
  <si>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</si>
  <si>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</si>
  <si>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</si>
  <si>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</si>
  <si>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</si>
  <si>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</si>
  <si>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</si>
  <si>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</si>
  <si>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</si>
  <si>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</si>
  <si>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</si>
  <si>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</si>
  <si>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</si>
  <si>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</si>
  <si>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</si>
  <si>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</si>
  <si>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</si>
  <si>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</si>
  <si>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</si>
  <si>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</si>
  <si>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</si>
  <si>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</si>
  <si>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</si>
  <si>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</si>
  <si>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</si>
  <si>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</si>
  <si>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</si>
  <si>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</si>
  <si>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</si>
  <si>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</si>
  <si>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</si>
  <si>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</si>
  <si>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</si>
  <si>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</si>
  <si>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</si>
  <si>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</si>
  <si>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</si>
  <si>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</si>
  <si>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</si>
  <si>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</si>
  <si>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</si>
  <si>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</si>
  <si>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</si>
  <si>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</si>
  <si>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</si>
  <si>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</si>
  <si>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</si>
  <si>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</si>
  <si>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</si>
  <si>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</si>
  <si>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</si>
  <si>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</si>
  <si>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</si>
  <si>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</si>
  <si>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</si>
  <si>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</si>
  <si>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</si>
  <si>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</si>
  <si>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</si>
  <si>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</si>
  <si>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</si>
  <si>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</si>
  <si>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</si>
  <si>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</si>
  <si>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</si>
  <si>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</si>
  <si>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</si>
  <si>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</si>
  <si>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</si>
  <si>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</si>
  <si>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</si>
  <si>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</si>
  <si>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</si>
  <si>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</si>
  <si>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</si>
  <si>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</si>
  <si>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</si>
  <si>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</si>
  <si>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</si>
  <si>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</si>
  <si>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</si>
  <si>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</si>
  <si>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</si>
  <si>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</si>
  <si>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</si>
  <si>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</si>
  <si>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</si>
  <si>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</si>
  <si>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</si>
  <si>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</si>
  <si>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</si>
  <si>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</si>
  <si>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</si>
  <si>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</si>
  <si>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</si>
  <si>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</si>
  <si>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</si>
  <si>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</si>
  <si>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</si>
  <si>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</si>
  <si>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</si>
  <si>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</si>
  <si>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</si>
  <si>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</si>
  <si>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</si>
  <si>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</si>
  <si>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</si>
  <si>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</si>
  <si>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</si>
  <si>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</si>
  <si>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</si>
  <si>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</si>
  <si>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</si>
  <si>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</si>
  <si>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</si>
  <si>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</si>
  <si>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</si>
  <si>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</si>
  <si>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</si>
  <si>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</si>
  <si>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</si>
  <si>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</si>
  <si>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</si>
  <si>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</si>
  <si>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</si>
  <si>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</si>
  <si>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</si>
  <si>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</si>
  <si>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</si>
  <si>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</si>
  <si>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</si>
  <si>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</si>
  <si>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</si>
  <si>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</si>
  <si>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</si>
  <si>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</si>
  <si>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</si>
  <si>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</si>
  <si>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</si>
  <si>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</si>
  <si>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</si>
  <si>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</si>
  <si>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</si>
  <si>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</si>
  <si>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</si>
  <si>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</si>
  <si>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</si>
  <si>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</si>
  <si>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</si>
  <si>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</si>
  <si>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</si>
  <si>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</si>
  <si>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</si>
  <si>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</si>
  <si>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</si>
  <si>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</si>
  <si>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</si>
  <si>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</si>
  <si>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</si>
  <si>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</si>
  <si>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</si>
  <si>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</si>
  <si>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</si>
  <si>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</si>
  <si>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</si>
  <si>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</si>
  <si>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</si>
  <si>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</si>
  <si>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</si>
  <si>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</si>
  <si>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</si>
  <si>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</si>
  <si>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</si>
  <si>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</si>
  <si>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</si>
  <si>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</si>
  <si>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</si>
  <si>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</si>
  <si>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</si>
  <si>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</si>
  <si>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</si>
  <si>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</si>
  <si>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</si>
  <si>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</si>
  <si>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</si>
  <si>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</si>
  <si>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</si>
  <si>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</si>
  <si>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</si>
  <si>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</si>
  <si>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</si>
  <si>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</si>
  <si>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</si>
  <si>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</si>
  <si>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</si>
  <si>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</si>
  <si>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</si>
  <si>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</si>
  <si>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</si>
  <si>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</si>
  <si>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</si>
  <si>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</si>
  <si>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</si>
  <si>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</si>
  <si>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</si>
  <si>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</si>
  <si>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</si>
  <si>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</si>
  <si>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</si>
  <si>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</si>
  <si>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</si>
  <si>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</si>
  <si>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</si>
  <si>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</si>
  <si>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</si>
  <si>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</si>
  <si>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</si>
  <si>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</si>
  <si>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</si>
  <si>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</si>
  <si>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</si>
  <si>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</si>
  <si>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</si>
  <si>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</si>
  <si>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</si>
  <si>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</si>
  <si>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</si>
  <si>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</si>
  <si>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</si>
  <si>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</si>
  <si>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</si>
  <si>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</si>
  <si>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</si>
  <si>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</si>
  <si>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</si>
  <si>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</si>
  <si>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</si>
  <si>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</si>
  <si>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</si>
  <si>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</si>
  <si>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</si>
  <si>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</si>
  <si>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</si>
  <si>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</si>
  <si>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</si>
  <si>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</si>
  <si>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</si>
  <si>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</si>
  <si>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</si>
  <si>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</si>
  <si>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</si>
  <si>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</si>
  <si>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</si>
  <si>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</si>
  <si>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</si>
  <si>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</si>
  <si>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</si>
  <si>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</si>
  <si>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</si>
  <si>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</si>
  <si>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</si>
  <si>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</si>
  <si>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</si>
  <si>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</si>
  <si>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</si>
  <si>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</si>
  <si>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</si>
  <si>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</si>
  <si>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</si>
  <si>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</si>
  <si>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</si>
  <si>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</si>
  <si>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</si>
  <si>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</si>
  <si>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</si>
  <si>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</si>
  <si>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</si>
  <si>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</si>
  <si>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</si>
  <si>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</si>
  <si>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</si>
  <si>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</si>
  <si>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</si>
  <si>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</si>
  <si>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</si>
  <si>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</si>
  <si>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</si>
  <si>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</si>
  <si>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</si>
  <si>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</si>
  <si>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</si>
  <si>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</si>
  <si>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</si>
  <si>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</si>
  <si>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</si>
  <si>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</si>
  <si>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</si>
  <si>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</si>
  <si>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</si>
  <si>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</si>
  <si>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</si>
  <si>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</si>
  <si>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</si>
  <si>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</si>
  <si>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</si>
  <si>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</si>
  <si>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</si>
  <si>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</si>
  <si>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</si>
  <si>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</si>
  <si>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</si>
  <si>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</si>
  <si>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</si>
  <si>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</si>
  <si>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</si>
  <si>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</si>
  <si>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</si>
  <si>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</si>
  <si>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</si>
  <si>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</si>
  <si>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</si>
  <si>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</si>
  <si>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</si>
  <si>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</si>
  <si>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</si>
  <si>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</si>
  <si>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</si>
  <si>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</si>
  <si>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</si>
  <si>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</si>
  <si>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</si>
  <si>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</si>
  <si>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</si>
  <si>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</si>
  <si>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</si>
  <si>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</si>
  <si>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</si>
  <si>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</si>
  <si>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</si>
  <si>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</si>
  <si>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</si>
  <si>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</si>
  <si>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</si>
  <si>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</si>
  <si>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</si>
  <si>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</si>
  <si>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</si>
  <si>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</si>
  <si>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</si>
  <si>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</si>
  <si>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</si>
  <si>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</si>
  <si>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</si>
  <si>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</si>
  <si>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</si>
  <si>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</si>
  <si>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</si>
  <si>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</si>
  <si>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</si>
  <si>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</si>
  <si>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</si>
  <si>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</si>
  <si>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</si>
  <si>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</si>
  <si>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</si>
  <si>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</si>
  <si>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</si>
  <si>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</si>
  <si>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</si>
  <si>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</si>
  <si>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</si>
  <si>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</si>
  <si>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</si>
  <si>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</si>
  <si>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</si>
  <si>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</si>
  <si>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</si>
  <si>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</si>
  <si>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</si>
  <si>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</si>
  <si>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</si>
  <si>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</si>
  <si>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</si>
  <si>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</si>
  <si>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</si>
  <si>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</si>
  <si>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</si>
  <si>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</si>
  <si>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</si>
  <si>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</si>
  <si>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</si>
  <si>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</si>
  <si>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</si>
  <si>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</si>
  <si>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</si>
  <si>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</si>
  <si>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</si>
  <si>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</si>
  <si>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</si>
  <si>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</si>
  <si>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</si>
  <si>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</si>
  <si>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</si>
  <si>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</si>
  <si>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</si>
  <si>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</si>
  <si>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</si>
  <si>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</si>
  <si>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</si>
  <si>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</si>
  <si>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</si>
  <si>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</si>
  <si>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</si>
  <si>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</si>
  <si>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</si>
  <si>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</si>
  <si>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</si>
  <si>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</si>
  <si>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</si>
  <si>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</si>
  <si>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</si>
  <si>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</si>
  <si>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</si>
  <si>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</si>
  <si>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</si>
  <si>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</si>
  <si>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</si>
  <si>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</si>
  <si>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</si>
  <si>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</si>
  <si>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</si>
  <si>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</si>
  <si>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</si>
  <si>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</si>
  <si>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</si>
  <si>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</si>
  <si>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</si>
  <si>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</si>
  <si>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</si>
  <si>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</si>
  <si>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</si>
  <si>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</si>
  <si>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</si>
  <si>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</si>
  <si>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</si>
  <si>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</si>
  <si>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</si>
  <si>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</si>
  <si>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</si>
  <si>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</si>
  <si>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</si>
  <si>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</si>
  <si>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</si>
  <si>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</si>
  <si>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</si>
  <si>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</si>
  <si>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</si>
  <si>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</si>
  <si>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</si>
  <si>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</si>
  <si>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</si>
  <si>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</si>
  <si>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</si>
  <si>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</si>
  <si>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</si>
  <si>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</si>
  <si>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</si>
  <si>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</si>
  <si>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</si>
  <si>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</si>
  <si>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</si>
  <si>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</si>
  <si>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</si>
  <si>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</si>
  <si>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</si>
  <si>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</si>
  <si>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</si>
  <si>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</si>
  <si>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</si>
  <si>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</si>
  <si>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</si>
  <si>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</si>
  <si>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</si>
  <si>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</si>
  <si>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</si>
  <si>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</si>
  <si>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</si>
  <si>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</si>
  <si>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</si>
  <si>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</si>
  <si>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</si>
  <si>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</si>
  <si>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</si>
  <si>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</si>
  <si>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</si>
  <si>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</si>
  <si>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</si>
  <si>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</si>
  <si>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</si>
  <si>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</si>
  <si>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</si>
  <si>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</si>
  <si>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</si>
  <si>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</si>
  <si>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</si>
  <si>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</si>
  <si>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</si>
  <si>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</si>
  <si>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</si>
  <si>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</si>
  <si>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</si>
  <si>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</si>
  <si>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</si>
  <si>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</si>
  <si>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</si>
  <si>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</si>
  <si>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</si>
  <si>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</si>
  <si>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</si>
  <si>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</si>
  <si>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</si>
  <si>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</si>
  <si>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</si>
  <si>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</si>
  <si>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</si>
  <si>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</si>
  <si>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</si>
  <si>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</si>
  <si>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</si>
  <si>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</si>
  <si>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</si>
  <si>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</si>
  <si>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</si>
  <si>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</si>
  <si>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</si>
  <si>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</si>
  <si>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</si>
  <si>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</si>
  <si>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</si>
  <si>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</si>
  <si>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</si>
  <si>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</si>
  <si>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</si>
  <si>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</si>
  <si>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</si>
  <si>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</si>
  <si>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</si>
  <si>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</si>
  <si>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</si>
  <si>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</si>
  <si>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</si>
  <si>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</si>
  <si>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</si>
  <si>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</si>
  <si>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</si>
  <si>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</si>
  <si>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</si>
  <si>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</si>
  <si>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</si>
  <si>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</si>
  <si>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</si>
  <si>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</si>
  <si>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</si>
  <si>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</si>
  <si>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</si>
  <si>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</si>
  <si>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</si>
  <si>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</si>
  <si>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</si>
  <si>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</si>
  <si>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</si>
  <si>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</si>
  <si>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</si>
  <si>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</si>
  <si>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</si>
  <si>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</si>
  <si>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</si>
  <si>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</si>
  <si>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</si>
  <si>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</si>
  <si>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</si>
  <si>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</si>
  <si>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</si>
  <si>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</si>
  <si>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</si>
  <si>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</si>
  <si>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</si>
  <si>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</si>
  <si>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</si>
  <si>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</si>
  <si>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</si>
  <si>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</si>
  <si>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</si>
  <si>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</si>
  <si>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</si>
  <si>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</si>
  <si>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</si>
  <si>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</si>
  <si>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</si>
  <si>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</si>
  <si>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</si>
  <si>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</si>
  <si>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</si>
  <si>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</si>
  <si>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</si>
  <si>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</si>
  <si>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</si>
  <si>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</si>
  <si>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</si>
  <si>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</si>
  <si>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</si>
  <si>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</si>
  <si>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</si>
  <si>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</si>
  <si>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</si>
  <si>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</si>
  <si>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</si>
  <si>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</si>
  <si>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</si>
  <si>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</si>
  <si>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</si>
  <si>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</si>
  <si>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</si>
  <si>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</si>
  <si>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</si>
  <si>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</si>
  <si>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</si>
  <si>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</si>
  <si>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</si>
  <si>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</si>
  <si>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</si>
  <si>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</si>
  <si>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</si>
  <si>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</si>
  <si>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</si>
  <si>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</si>
  <si>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</si>
  <si>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</si>
  <si>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</si>
  <si>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</si>
  <si>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</si>
  <si>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</si>
  <si>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</si>
  <si>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</si>
  <si>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</si>
  <si>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</si>
  <si>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</si>
  <si>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</si>
  <si>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</si>
  <si>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</si>
  <si>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</si>
  <si>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</si>
  <si>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</si>
  <si>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</si>
  <si>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</si>
  <si>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</si>
  <si>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</si>
  <si>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</si>
  <si>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</si>
  <si>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</si>
  <si>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</si>
  <si>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</si>
  <si>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</si>
  <si>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</si>
  <si>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</si>
  <si>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</si>
  <si>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</si>
  <si>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</si>
  <si>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</si>
  <si>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</si>
  <si>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</si>
  <si>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</si>
  <si>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</si>
  <si>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</si>
  <si>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</si>
  <si>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</si>
  <si>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</si>
  <si>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</si>
  <si>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</si>
  <si>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</si>
  <si>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</si>
  <si>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</si>
  <si>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</si>
  <si>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</si>
  <si>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</si>
  <si>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</si>
  <si>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</si>
  <si>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</si>
  <si>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</si>
  <si>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</si>
  <si>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</si>
  <si>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</si>
  <si>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</si>
  <si>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</si>
  <si>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</si>
  <si>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</si>
  <si>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</si>
  <si>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</si>
  <si>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</si>
  <si>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</si>
  <si>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</si>
  <si>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</si>
  <si>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</si>
  <si>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</si>
  <si>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</si>
  <si>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</si>
  <si>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</si>
  <si>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</si>
  <si>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</si>
  <si>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</si>
  <si>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</si>
  <si>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</si>
  <si>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</si>
  <si>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</si>
  <si>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</si>
  <si>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</si>
  <si>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</si>
  <si>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</si>
  <si>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</si>
  <si>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</si>
  <si>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</si>
  <si>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</si>
  <si>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</si>
  <si>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</si>
  <si>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</si>
  <si>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</si>
  <si>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</si>
  <si>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</si>
  <si>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</si>
  <si>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</si>
  <si>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</si>
  <si>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</si>
  <si>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</si>
  <si>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</si>
  <si>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</si>
  <si>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</si>
  <si>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</si>
  <si>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</si>
  <si>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</si>
  <si>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</si>
  <si>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</si>
  <si>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</si>
  <si>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</si>
  <si>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</si>
  <si>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</si>
  <si>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</si>
  <si>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</si>
  <si>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</si>
  <si>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</si>
  <si>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</si>
  <si>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</si>
  <si>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</si>
  <si>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</si>
  <si>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</si>
  <si>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</si>
  <si>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</si>
  <si>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</si>
  <si>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</si>
  <si>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</si>
  <si>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</si>
  <si>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</si>
  <si>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</si>
  <si>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</si>
  <si>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</si>
  <si>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</si>
  <si>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</si>
  <si>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</si>
  <si>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</si>
  <si>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</si>
  <si>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</si>
  <si>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</si>
  <si>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</si>
  <si>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</si>
  <si>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</si>
  <si>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</si>
  <si>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</si>
  <si>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</si>
  <si>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</si>
  <si>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</si>
  <si>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</si>
  <si>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</si>
  <si>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</si>
  <si>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</si>
  <si>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</si>
  <si>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</si>
  <si>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</si>
  <si>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</si>
  <si>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</si>
  <si>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</si>
  <si>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</si>
  <si>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</si>
  <si>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</si>
  <si>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</si>
  <si>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</si>
  <si>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</si>
  <si>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</si>
  <si>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</si>
  <si>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</si>
  <si>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</si>
  <si>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</si>
  <si>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</si>
  <si>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</si>
  <si>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</si>
  <si>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</si>
  <si>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</si>
  <si>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</si>
  <si>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</si>
  <si>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</si>
  <si>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</si>
  <si>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</si>
  <si>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</si>
  <si>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</si>
  <si>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</si>
  <si>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</si>
  <si>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</si>
  <si>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</si>
  <si>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</si>
  <si>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</si>
  <si>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</si>
  <si>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</si>
  <si>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</si>
  <si>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</si>
  <si>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</si>
  <si>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</si>
  <si>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</si>
  <si>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</si>
  <si>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</si>
  <si>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</si>
  <si>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</si>
  <si>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</si>
  <si>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</si>
  <si>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</si>
  <si>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</si>
  <si>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</si>
  <si>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</si>
  <si>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</si>
  <si>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</si>
  <si>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</si>
  <si>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</si>
  <si>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</si>
  <si>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</si>
  <si>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</si>
  <si>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</si>
  <si>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</si>
  <si>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</si>
  <si>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</si>
  <si>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</si>
  <si>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</si>
  <si>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</si>
  <si>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</si>
  <si>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</si>
  <si>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</si>
  <si>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</si>
  <si>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</si>
  <si>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</si>
  <si>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</si>
  <si>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</si>
  <si>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</si>
  <si>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</si>
  <si>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</si>
  <si>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</si>
  <si>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</si>
  <si>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</si>
  <si>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</si>
  <si>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</si>
  <si>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</si>
  <si>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</si>
  <si>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</si>
  <si>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</si>
  <si>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</si>
  <si>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</si>
  <si>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</si>
  <si>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</si>
  <si>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</si>
  <si>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</si>
  <si>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</si>
  <si>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</si>
  <si>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</si>
  <si>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</si>
  <si>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</si>
  <si>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</si>
  <si>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</si>
  <si>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</si>
  <si>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</si>
  <si>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</si>
  <si>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</si>
  <si>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</si>
  <si>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</si>
  <si>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</si>
  <si>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</si>
  <si>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</si>
  <si>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</si>
  <si>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</si>
  <si>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</si>
  <si>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</si>
  <si>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</si>
  <si>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</si>
  <si>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</si>
  <si>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</si>
  <si>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</si>
  <si>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</si>
  <si>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</si>
  <si>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</si>
  <si>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</si>
  <si>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</si>
  <si>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</si>
  <si>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</si>
  <si>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</si>
  <si>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</si>
  <si>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</si>
  <si>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</si>
  <si>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</si>
  <si>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</si>
  <si>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</si>
  <si>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</si>
  <si>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</si>
  <si>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</si>
  <si>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</si>
  <si>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</si>
  <si>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</si>
  <si>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</si>
  <si>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</si>
  <si>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</si>
  <si>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</si>
  <si>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</si>
  <si>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</si>
  <si>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</si>
  <si>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</si>
  <si>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</si>
  <si>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</si>
  <si>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</si>
  <si>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</si>
  <si>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</si>
  <si>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</si>
  <si>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</si>
  <si>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</si>
  <si>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</si>
  <si>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</si>
  <si>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</si>
  <si>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</si>
  <si>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</si>
  <si>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</si>
  <si>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</si>
  <si>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</si>
  <si>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</si>
  <si>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</si>
  <si>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</si>
  <si>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</si>
  <si>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</si>
  <si>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</si>
  <si>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</si>
  <si>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</si>
  <si>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</si>
  <si>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</si>
  <si>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</si>
  <si>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</si>
  <si>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</si>
  <si>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</si>
  <si>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</si>
  <si>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</si>
  <si>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</si>
  <si>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</si>
  <si>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</si>
  <si>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</si>
  <si>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</si>
  <si>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</si>
  <si>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</si>
  <si>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</si>
  <si>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</si>
  <si>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</si>
  <si>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</si>
  <si>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</si>
  <si>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</si>
  <si>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</si>
  <si>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</si>
  <si>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</si>
  <si>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</si>
  <si>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</si>
  <si>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</si>
  <si>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</si>
  <si>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</si>
  <si>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</si>
  <si>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</si>
  <si>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</si>
  <si>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</si>
  <si>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</si>
  <si>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</si>
  <si>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</si>
  <si>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</si>
  <si>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</si>
  <si>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</si>
  <si>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</si>
  <si>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</si>
  <si>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</si>
  <si>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</si>
  <si>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</si>
  <si>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</si>
  <si>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</si>
  <si>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</si>
  <si>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</si>
  <si>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</si>
  <si>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</si>
  <si>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</si>
  <si>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</si>
  <si>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</si>
  <si>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</si>
  <si>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</si>
  <si>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</si>
  <si>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</si>
  <si>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</si>
  <si>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</si>
  <si>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</si>
  <si>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</si>
  <si>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</si>
  <si>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</si>
  <si>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</si>
  <si>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</si>
  <si>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</si>
  <si>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</si>
  <si>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</si>
  <si>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</si>
  <si>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</si>
  <si>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</si>
  <si>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</si>
  <si>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</si>
  <si>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</si>
  <si>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</si>
  <si>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</si>
  <si>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</si>
  <si>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</si>
  <si>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</si>
  <si>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</si>
  <si>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</si>
  <si>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</si>
  <si>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</si>
  <si>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</si>
  <si>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</si>
  <si>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</si>
  <si>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</si>
  <si>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</si>
  <si>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</si>
  <si>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</si>
  <si>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</si>
  <si>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</si>
  <si>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</si>
  <si>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</si>
  <si>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</si>
  <si>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</si>
  <si>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</si>
  <si>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</si>
  <si>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</si>
  <si>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</si>
  <si>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</si>
  <si>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</si>
  <si>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</si>
  <si>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</si>
  <si>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</si>
  <si>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</si>
  <si>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</si>
  <si>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</si>
  <si>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</si>
  <si>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</si>
  <si>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</si>
  <si>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</si>
  <si>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</si>
  <si>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</si>
  <si>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</si>
  <si>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</si>
  <si>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</si>
  <si>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</si>
  <si>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</si>
  <si>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</si>
  <si>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</si>
  <si>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</si>
  <si>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</si>
  <si>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</si>
  <si>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</si>
  <si>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</si>
  <si>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</si>
  <si>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</si>
  <si>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</si>
  <si>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</si>
  <si>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</si>
  <si>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</si>
  <si>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</si>
  <si>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</si>
  <si>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</si>
  <si>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</si>
  <si>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</si>
  <si>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</si>
  <si>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</si>
  <si>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</si>
  <si>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</si>
  <si>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</si>
  <si>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</si>
  <si>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</si>
  <si>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</si>
  <si>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</si>
  <si>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</si>
  <si>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</si>
  <si>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</si>
  <si>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</si>
  <si>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</si>
  <si>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</si>
  <si>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</si>
  <si>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</si>
  <si>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</si>
  <si>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</si>
  <si>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</si>
  <si>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</si>
  <si>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</si>
  <si>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</si>
  <si>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</si>
  <si>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</si>
  <si>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</si>
  <si>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</si>
  <si>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</si>
  <si>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</si>
  <si>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</si>
  <si>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</si>
  <si>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</si>
  <si>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</si>
  <si>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</si>
  <si>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</si>
  <si>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</si>
  <si>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</si>
  <si>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</si>
  <si>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</si>
  <si>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</si>
  <si>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</si>
  <si>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</si>
  <si>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</si>
  <si>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</si>
  <si>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</si>
  <si>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</si>
  <si>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</si>
  <si>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</si>
  <si>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</si>
  <si>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</si>
  <si>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</si>
  <si>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</si>
  <si>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</si>
  <si>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</si>
  <si>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</si>
  <si>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</si>
  <si>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</si>
  <si>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</si>
  <si>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</si>
  <si>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</si>
  <si>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</si>
  <si>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</si>
  <si>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</si>
  <si>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</si>
  <si>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</si>
  <si>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</si>
  <si>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</si>
  <si>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</si>
  <si>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</si>
  <si>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</si>
  <si>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</si>
  <si>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</si>
  <si>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</si>
  <si>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</si>
  <si>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</si>
  <si>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</si>
  <si>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</si>
  <si>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</si>
  <si>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</si>
  <si>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</si>
  <si>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</si>
  <si>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</si>
  <si>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</si>
  <si>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</si>
  <si>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</si>
  <si>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</si>
  <si>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</si>
  <si>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</si>
  <si>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</si>
  <si>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</si>
  <si>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</si>
  <si>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</si>
  <si>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</si>
  <si>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</si>
  <si>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</si>
  <si>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</si>
  <si>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</si>
  <si>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</si>
  <si>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</si>
  <si>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</si>
  <si>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</si>
  <si>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</si>
  <si>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</si>
  <si>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</si>
  <si>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</si>
  <si>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</si>
  <si>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</si>
  <si>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</si>
  <si>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</si>
  <si>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</si>
  <si>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</si>
  <si>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</si>
  <si>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</si>
  <si>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</si>
  <si>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</si>
  <si>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</si>
  <si>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</si>
  <si>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</si>
  <si>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</si>
  <si>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</si>
  <si>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</si>
  <si>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</si>
  <si>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</si>
  <si>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</si>
  <si>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</si>
  <si>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</si>
  <si>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</si>
  <si>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</si>
  <si>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</si>
  <si>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</si>
  <si>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</si>
  <si>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</si>
  <si>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</si>
  <si>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</si>
  <si>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</si>
  <si>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</si>
  <si>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</si>
  <si>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</si>
  <si>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</si>
  <si>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</si>
  <si>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</si>
  <si>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</si>
  <si>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</si>
  <si>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</si>
  <si>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</si>
  <si>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</si>
  <si>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</si>
  <si>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</si>
  <si>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</si>
  <si>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</si>
  <si>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</si>
  <si>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</si>
  <si>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</si>
  <si>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</si>
  <si>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</si>
  <si>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</si>
  <si>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</si>
  <si>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</si>
  <si>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</si>
  <si>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</si>
  <si>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</si>
  <si>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</si>
  <si>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</si>
  <si>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</si>
  <si>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</si>
  <si>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</si>
  <si>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</si>
  <si>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</si>
  <si>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</si>
  <si>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</si>
  <si>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</si>
  <si>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</si>
  <si>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</si>
  <si>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</si>
  <si>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</si>
  <si>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</si>
  <si>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</si>
  <si>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</si>
  <si>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</si>
  <si>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</si>
  <si>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</si>
  <si>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</si>
  <si>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</si>
  <si>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</si>
  <si>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</si>
  <si>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</si>
  <si>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</si>
  <si>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</si>
  <si>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</si>
  <si>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</si>
  <si>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</si>
  <si>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</si>
  <si>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</si>
  <si>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</si>
  <si>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</si>
  <si>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</si>
  <si>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</si>
  <si>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</si>
  <si>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</si>
  <si>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</si>
  <si>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</si>
  <si>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</si>
  <si>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</si>
  <si>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</si>
  <si>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</si>
  <si>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</si>
  <si>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</si>
  <si>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</si>
  <si>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</si>
  <si>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</si>
  <si>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</si>
  <si>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</si>
  <si>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</si>
  <si>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</si>
  <si>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</si>
  <si>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</si>
  <si>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</si>
  <si>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</si>
  <si>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</si>
  <si>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</si>
  <si>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</si>
  <si>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</si>
  <si>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</si>
  <si>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</si>
  <si>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</si>
  <si>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</si>
  <si>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</si>
  <si>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</si>
  <si>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</si>
  <si>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</si>
  <si>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</si>
  <si>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</si>
  <si>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</si>
  <si>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</si>
  <si>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</si>
  <si>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</si>
  <si>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</si>
  <si>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</si>
  <si>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</si>
  <si>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</si>
  <si>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</si>
  <si>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</si>
  <si>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</si>
  <si>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</si>
  <si>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</si>
  <si>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</si>
  <si>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</si>
  <si>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</si>
  <si>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</si>
  <si>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</si>
  <si>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</si>
  <si>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</si>
  <si>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</si>
  <si>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</si>
  <si>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</si>
  <si>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</si>
  <si>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</si>
  <si>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</si>
  <si>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</si>
  <si>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</si>
  <si>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</si>
  <si>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</si>
  <si>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</si>
  <si>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</si>
  <si>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</si>
  <si>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</si>
  <si>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</si>
  <si>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</si>
  <si>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</si>
  <si>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</si>
  <si>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</si>
  <si>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</si>
  <si>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</si>
  <si>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</si>
  <si>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</si>
  <si>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</si>
  <si>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</si>
  <si>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</si>
  <si>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</si>
  <si>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</si>
  <si>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</si>
  <si>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</si>
  <si>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</si>
  <si>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</si>
  <si>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</si>
  <si>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</si>
  <si>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</si>
  <si>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</si>
  <si>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</si>
  <si>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</si>
  <si>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</si>
  <si>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</si>
  <si>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</si>
  <si>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</si>
  <si>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</si>
  <si>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</si>
  <si>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</si>
  <si>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</si>
  <si>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</si>
  <si>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</si>
  <si>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</si>
  <si>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</si>
  <si>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</si>
  <si>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</si>
  <si>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</si>
  <si>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</si>
  <si>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</si>
  <si>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</si>
  <si>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</si>
  <si>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</si>
  <si>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</si>
  <si>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</si>
  <si>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</si>
  <si>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</si>
  <si>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</si>
  <si>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</si>
  <si>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</si>
  <si>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</si>
  <si>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</si>
  <si>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</si>
  <si>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</si>
  <si>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</si>
  <si>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</si>
  <si>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</si>
  <si>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</si>
  <si>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</si>
  <si>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</si>
  <si>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</si>
  <si>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</si>
  <si>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</si>
  <si>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</si>
  <si>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</si>
  <si>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</si>
  <si>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</si>
  <si>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</si>
  <si>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</si>
  <si>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</si>
  <si>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</si>
  <si>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</si>
  <si>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</si>
  <si>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</si>
  <si>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</si>
  <si>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</si>
  <si>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</si>
  <si>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</si>
  <si>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</si>
  <si>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</si>
  <si>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</si>
  <si>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</si>
  <si>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</si>
  <si>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</si>
  <si>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</si>
  <si>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</si>
  <si>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</si>
  <si>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</si>
  <si>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</si>
  <si>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</si>
  <si>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</si>
  <si>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</si>
  <si>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</si>
  <si>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</si>
  <si>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</si>
  <si>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</si>
  <si>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</si>
  <si>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</si>
  <si>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</si>
  <si>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</si>
  <si>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</si>
  <si>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</si>
  <si>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</si>
  <si>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</si>
  <si>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</si>
  <si>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</si>
  <si>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</si>
  <si>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</si>
  <si>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</si>
  <si>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</si>
  <si>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</si>
  <si>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</si>
  <si>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</si>
  <si>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</si>
  <si>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</si>
  <si>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</si>
  <si>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</si>
  <si>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</si>
  <si>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</si>
  <si>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</si>
  <si>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</si>
  <si>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</si>
  <si>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</si>
  <si>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</si>
  <si>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</si>
  <si>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</si>
  <si>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</si>
  <si>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</si>
  <si>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</si>
  <si>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</si>
  <si>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</si>
  <si>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</si>
  <si>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</si>
  <si>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</si>
  <si>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</si>
  <si>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</si>
  <si>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</si>
  <si>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</si>
  <si>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</si>
  <si>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</si>
  <si>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</si>
  <si>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</si>
  <si>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</si>
  <si>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</si>
  <si>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</si>
  <si>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</si>
  <si>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</si>
  <si>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</si>
  <si>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</si>
  <si>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</si>
  <si>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</si>
  <si>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</si>
  <si>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</si>
  <si>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</si>
  <si>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</si>
  <si>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</si>
  <si>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</si>
  <si>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</si>
  <si>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</si>
  <si>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</si>
  <si>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</si>
  <si>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</si>
  <si>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</si>
  <si>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</si>
  <si>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</si>
  <si>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</si>
  <si>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</si>
  <si>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</si>
  <si>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</si>
  <si>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</si>
  <si>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</si>
  <si>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</si>
  <si>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</si>
  <si>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</si>
  <si>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</si>
  <si>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</si>
  <si>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</si>
  <si>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</si>
  <si>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</si>
  <si>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</si>
  <si>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</si>
  <si>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</si>
  <si>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</si>
  <si>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</si>
  <si>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</si>
  <si>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</si>
  <si>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</si>
  <si>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</si>
  <si>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</si>
  <si>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</si>
  <si>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</si>
  <si>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</si>
  <si>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</si>
  <si>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</si>
  <si>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</si>
  <si>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</si>
  <si>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</si>
  <si>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</si>
  <si>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</si>
  <si>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</si>
  <si>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</si>
  <si>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</si>
  <si>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</si>
  <si>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</si>
  <si>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</si>
  <si>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</si>
  <si>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</si>
  <si>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</si>
  <si>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</si>
  <si>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</si>
  <si>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</si>
  <si>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</si>
  <si>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</si>
  <si>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</si>
  <si>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</si>
  <si>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</si>
  <si>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</si>
  <si>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</si>
  <si>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</si>
  <si>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</si>
  <si>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</si>
  <si>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</si>
  <si>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</si>
  <si>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</si>
  <si>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</si>
  <si>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</si>
  <si>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</si>
  <si>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</si>
  <si>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</si>
  <si>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</si>
  <si>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</si>
  <si>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</si>
  <si>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</si>
  <si>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</si>
  <si>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</si>
  <si>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</si>
  <si>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</si>
  <si>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</si>
  <si>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</si>
  <si>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</si>
  <si>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</si>
  <si>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</si>
  <si>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</si>
  <si>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</si>
  <si>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</si>
  <si>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</si>
  <si>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</si>
  <si>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</si>
  <si>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</si>
  <si>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</si>
  <si>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</si>
  <si>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</si>
  <si>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</si>
  <si>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</si>
  <si>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</si>
  <si>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</si>
  <si>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</si>
  <si>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</si>
  <si>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</si>
  <si>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</si>
  <si>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</si>
  <si>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</si>
  <si>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</si>
  <si>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</si>
  <si>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</si>
  <si>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</si>
  <si>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</si>
  <si>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</si>
  <si>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</si>
  <si>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</si>
  <si>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</si>
  <si>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</si>
  <si>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</si>
  <si>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</si>
  <si>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</si>
  <si>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</si>
  <si>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</si>
  <si>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</si>
  <si>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</si>
  <si>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</si>
  <si>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</si>
  <si>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</si>
  <si>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</si>
  <si>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</si>
  <si>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</si>
  <si>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</si>
  <si>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</si>
  <si>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</si>
  <si>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</si>
  <si>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</si>
  <si>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</si>
  <si>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</si>
  <si>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</si>
  <si>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</si>
  <si>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</si>
  <si>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</si>
  <si>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</si>
  <si>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</si>
  <si>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</si>
  <si>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</si>
  <si>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</si>
  <si>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</si>
  <si>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</si>
  <si>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</si>
  <si>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</si>
  <si>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</si>
  <si>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</si>
  <si>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</si>
  <si>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</si>
  <si>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</si>
  <si>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</si>
  <si>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</si>
  <si>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</si>
  <si>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</si>
  <si>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</si>
  <si>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</si>
  <si>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</si>
  <si>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</si>
  <si>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</si>
  <si>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</si>
  <si>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</si>
  <si>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</si>
  <si>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</si>
  <si>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</si>
  <si>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</si>
  <si>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</si>
  <si>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</si>
  <si>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</si>
  <si>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</si>
  <si>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</si>
  <si>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</si>
  <si>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</si>
  <si>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</si>
  <si>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</si>
  <si>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</si>
  <si>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</si>
  <si>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</si>
  <si>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</si>
  <si>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</si>
  <si>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</si>
  <si>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</si>
  <si>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</si>
  <si>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</si>
  <si>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</si>
  <si>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</si>
  <si>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</si>
  <si>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</si>
  <si>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</si>
  <si>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</si>
  <si>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</si>
  <si>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</si>
  <si>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</si>
  <si>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</si>
  <si>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</si>
  <si>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</si>
  <si>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</si>
  <si>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</si>
  <si>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</si>
  <si>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</si>
  <si>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</si>
  <si>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</si>
  <si>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</si>
  <si>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</si>
  <si>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</si>
  <si>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</si>
  <si>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</si>
  <si>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</si>
  <si>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</si>
  <si>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</si>
  <si>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</si>
  <si>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</si>
  <si>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</si>
  <si>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</si>
  <si>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</si>
  <si>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</si>
  <si>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</si>
  <si>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</si>
  <si>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</si>
  <si>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</si>
  <si>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</si>
  <si>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</si>
  <si>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</si>
  <si>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</si>
  <si>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</si>
  <si>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</si>
  <si>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</si>
  <si>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</si>
  <si>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</si>
  <si>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</si>
  <si>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</si>
  <si>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</si>
  <si>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</si>
  <si>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</si>
  <si>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</si>
  <si>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</si>
  <si>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</si>
  <si>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</si>
  <si>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</si>
  <si>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</si>
  <si>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</si>
  <si>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</si>
  <si>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</si>
  <si>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</si>
  <si>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</si>
  <si>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</si>
  <si>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</si>
  <si>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</si>
  <si>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</si>
  <si>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</si>
  <si>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</si>
  <si>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</si>
  <si>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</si>
  <si>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</si>
  <si>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</si>
  <si>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</si>
  <si>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</si>
  <si>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</si>
  <si>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</si>
  <si>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</si>
  <si>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</si>
  <si>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</si>
  <si>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</si>
  <si>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</si>
  <si>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</si>
  <si>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</si>
  <si>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</si>
  <si>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</si>
  <si>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</si>
  <si>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</si>
  <si>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</si>
  <si>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</si>
  <si>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</si>
  <si>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</si>
  <si>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</si>
  <si>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</si>
  <si>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</si>
  <si>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</si>
  <si>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</si>
  <si>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</si>
  <si>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</si>
  <si>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</si>
  <si>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</si>
  <si>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</si>
  <si>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</si>
  <si>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</si>
  <si>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</si>
  <si>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</si>
  <si>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</si>
  <si>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</si>
  <si>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</si>
  <si>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</si>
  <si>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</si>
  <si>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</si>
  <si>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</si>
  <si>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</si>
  <si>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</si>
  <si>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</si>
  <si>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</si>
  <si>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</si>
  <si>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</si>
  <si>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</si>
  <si>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</si>
  <si>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</si>
  <si>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</si>
  <si>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</si>
  <si>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</si>
  <si>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</si>
  <si>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</si>
  <si>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</si>
  <si>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</si>
  <si>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</si>
  <si>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</si>
  <si>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</si>
  <si>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</si>
  <si>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</si>
  <si>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</si>
  <si>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</si>
  <si>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</si>
  <si>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</si>
  <si>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</si>
  <si>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</si>
  <si>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</si>
  <si>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</si>
  <si>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</si>
  <si>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</si>
  <si>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</si>
  <si>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</si>
  <si>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</si>
  <si>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</si>
  <si>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</si>
  <si>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</si>
  <si>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</si>
  <si>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</si>
  <si>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</si>
  <si>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</si>
  <si>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</si>
  <si>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</si>
  <si>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</si>
  <si>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</si>
  <si>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</si>
  <si>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</si>
  <si>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</si>
  <si>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</si>
  <si>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</si>
  <si>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</si>
  <si>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</si>
  <si>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</si>
  <si>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</si>
  <si>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</si>
  <si>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</si>
  <si>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</si>
  <si>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</si>
  <si>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</si>
  <si>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</si>
  <si>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</si>
  <si>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</si>
  <si>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</si>
  <si>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</si>
  <si>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</si>
  <si>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</si>
  <si>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</si>
  <si>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</si>
  <si>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</si>
  <si>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</si>
  <si>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</si>
  <si>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</si>
  <si>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</si>
  <si>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</si>
  <si>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</si>
  <si>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</si>
  <si>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</si>
  <si>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</si>
  <si>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</si>
  <si>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</si>
  <si>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</si>
  <si>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</si>
  <si>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</si>
  <si>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</si>
  <si>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</si>
  <si>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</si>
  <si>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</si>
  <si>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</si>
  <si>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</si>
  <si>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</si>
  <si>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</si>
  <si>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</si>
  <si>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</si>
  <si>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</si>
  <si>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</si>
  <si>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</si>
  <si>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</si>
  <si>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</si>
  <si>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</si>
  <si>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</si>
  <si>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</si>
  <si>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</si>
  <si>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</si>
  <si>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</si>
  <si>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</si>
  <si>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</si>
  <si>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</si>
  <si>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</si>
  <si>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</si>
  <si>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</si>
  <si>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</si>
  <si>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</si>
  <si>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</si>
  <si>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</si>
  <si>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</si>
  <si>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</si>
  <si>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</si>
  <si>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</si>
  <si>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</si>
  <si>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</si>
  <si>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</si>
  <si>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</si>
  <si>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</si>
  <si>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</si>
  <si>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</si>
  <si>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</si>
  <si>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</si>
  <si>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</si>
  <si>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</si>
  <si>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</si>
  <si>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</si>
  <si>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</si>
  <si>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</si>
  <si>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</si>
  <si>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</si>
  <si>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</si>
  <si>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</si>
  <si>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</si>
  <si>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</si>
  <si>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</si>
  <si>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</si>
  <si>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</si>
  <si>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</si>
  <si>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</si>
  <si>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</si>
  <si>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</si>
  <si>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</si>
  <si>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</si>
  <si>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</si>
  <si>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</si>
  <si>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</si>
  <si>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</si>
  <si>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</si>
  <si>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</si>
  <si>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</si>
  <si>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</si>
  <si>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</si>
  <si>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</si>
  <si>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</si>
  <si>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</si>
  <si>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</si>
  <si>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</si>
  <si>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</si>
  <si>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</si>
  <si>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</si>
  <si>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</si>
  <si>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</si>
  <si>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</si>
  <si>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</si>
  <si>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</si>
  <si>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</si>
  <si>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</si>
  <si>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</si>
  <si>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</si>
  <si>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</si>
  <si>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</si>
  <si>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</si>
  <si>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</si>
  <si>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</si>
  <si>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</si>
  <si>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</si>
  <si>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</si>
  <si>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</si>
  <si>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</si>
  <si>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</si>
  <si>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</si>
  <si>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</si>
  <si>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</si>
  <si>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</si>
  <si>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</si>
  <si>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</si>
  <si>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</si>
  <si>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</si>
  <si>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</si>
  <si>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</si>
  <si>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</si>
  <si>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</si>
  <si>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</si>
  <si>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</si>
  <si>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</si>
  <si>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</si>
  <si>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</si>
  <si>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</si>
  <si>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</si>
  <si>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</si>
  <si>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</si>
  <si>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</si>
  <si>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</si>
  <si>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</si>
  <si>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</si>
  <si>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</si>
  <si>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</si>
  <si>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</si>
  <si>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</si>
  <si>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</si>
  <si>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</si>
  <si>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</si>
  <si>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</si>
  <si>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</si>
  <si>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</si>
  <si>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</si>
  <si>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</si>
  <si>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</si>
  <si>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</si>
  <si>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</si>
  <si>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</si>
  <si>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</si>
  <si>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</si>
  <si>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</si>
  <si>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</si>
  <si>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</si>
  <si>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</si>
  <si>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</si>
  <si>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</si>
  <si>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</si>
  <si>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</si>
  <si>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</si>
  <si>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</si>
  <si>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</si>
  <si>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</si>
  <si>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</si>
  <si>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</si>
  <si>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</si>
  <si>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</si>
  <si>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</si>
  <si>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</si>
  <si>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</si>
  <si>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</si>
  <si>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</si>
  <si>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</si>
  <si>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</si>
  <si>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</si>
  <si>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</si>
  <si>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</si>
  <si>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</si>
  <si>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</si>
  <si>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</si>
  <si>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</si>
  <si>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</si>
  <si>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</si>
  <si>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</si>
  <si>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</si>
  <si>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</si>
  <si>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</si>
  <si>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</si>
  <si>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</si>
  <si>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</si>
  <si>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</si>
  <si>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</si>
  <si>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</si>
  <si>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</si>
  <si>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</si>
  <si>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</si>
  <si>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</si>
  <si>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</si>
  <si>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</si>
  <si>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</si>
  <si>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</si>
  <si>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</si>
  <si>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</si>
  <si>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</si>
  <si>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</si>
  <si>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</si>
  <si>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</si>
  <si>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</si>
  <si>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</si>
  <si>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</si>
  <si>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</si>
  <si>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</si>
  <si>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</si>
  <si>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</si>
  <si>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</si>
  <si>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</si>
  <si>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</si>
  <si>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</si>
  <si>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</si>
  <si>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</si>
  <si>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</si>
  <si>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</si>
  <si>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</si>
  <si>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</si>
  <si>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</si>
  <si>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</si>
  <si>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</si>
  <si>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</si>
  <si>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</si>
  <si>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</si>
  <si>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</si>
  <si>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</si>
  <si>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</si>
  <si>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</si>
  <si>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</si>
  <si>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</si>
  <si>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</si>
  <si>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</si>
  <si>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</si>
  <si>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</si>
  <si>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</si>
  <si>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</si>
  <si>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</si>
  <si>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</si>
  <si>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</si>
  <si>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</si>
  <si>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</si>
  <si>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</si>
  <si>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</si>
  <si>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</si>
  <si>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</si>
  <si>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</si>
  <si>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</si>
  <si>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</si>
  <si>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</si>
  <si>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</si>
  <si>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</si>
  <si>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</si>
  <si>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</si>
  <si>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</si>
  <si>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</si>
  <si>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</si>
  <si>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</si>
  <si>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</si>
  <si>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</si>
  <si>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</si>
  <si>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</si>
  <si>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</si>
  <si>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</si>
  <si>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</si>
  <si>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</si>
  <si>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</si>
  <si>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</si>
  <si>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</si>
  <si>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</si>
  <si>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</si>
  <si>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</si>
  <si>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</si>
  <si>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</si>
  <si>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</si>
  <si>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</si>
  <si>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</si>
  <si>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</si>
  <si>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</si>
  <si>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</si>
  <si>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</si>
  <si>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</si>
  <si>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</si>
  <si>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</si>
  <si>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</si>
  <si>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</si>
  <si>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</si>
  <si>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</si>
  <si>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</si>
  <si>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</si>
  <si>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</si>
  <si>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</si>
  <si>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</si>
  <si>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</si>
  <si>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</si>
  <si>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</si>
  <si>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</si>
  <si>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</si>
  <si>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</si>
  <si>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</si>
  <si>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</si>
  <si>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</si>
  <si>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</si>
  <si>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</si>
  <si>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</si>
  <si>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</si>
  <si>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</si>
  <si>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</si>
  <si>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</si>
  <si>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</si>
  <si>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</si>
  <si>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</si>
  <si>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</si>
  <si>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</si>
  <si>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</si>
  <si>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</si>
  <si>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</si>
  <si>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</si>
  <si>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</si>
  <si>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</si>
  <si>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</si>
  <si>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</si>
  <si>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</si>
  <si>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</si>
  <si>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</si>
  <si>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</si>
  <si>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</si>
  <si>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</si>
  <si>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</si>
  <si>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</si>
  <si>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</si>
  <si>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</si>
  <si>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</si>
  <si>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</si>
  <si>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</si>
  <si>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</si>
  <si>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</si>
  <si>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</si>
  <si>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</si>
  <si>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</si>
  <si>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</si>
  <si>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</si>
  <si>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</si>
  <si>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</si>
  <si>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</si>
  <si>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</si>
  <si>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</si>
  <si>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</si>
  <si>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</si>
  <si>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</si>
  <si>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</si>
  <si>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</si>
  <si>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</si>
  <si>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</si>
  <si>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</si>
  <si>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</si>
  <si>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</si>
  <si>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</si>
  <si>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</si>
  <si>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</si>
  <si>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</si>
  <si>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</si>
  <si>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</si>
  <si>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</si>
  <si>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</si>
  <si>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</si>
  <si>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</si>
  <si>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</si>
  <si>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</si>
  <si>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</si>
  <si>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</si>
  <si>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</si>
  <si>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</si>
  <si>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</si>
  <si>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</si>
  <si>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</si>
  <si>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</si>
  <si>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</si>
  <si>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</si>
  <si>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</si>
  <si>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</si>
  <si>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</si>
  <si>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</si>
  <si>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</si>
  <si>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</si>
  <si>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</si>
  <si>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</si>
  <si>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</si>
  <si>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</si>
  <si>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</si>
  <si>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</si>
  <si>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</si>
  <si>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</si>
  <si>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</si>
  <si>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</si>
  <si>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</si>
  <si>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</si>
  <si>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</si>
  <si>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</si>
  <si>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</si>
  <si>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</si>
  <si>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</si>
  <si>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</si>
  <si>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</si>
  <si>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</si>
  <si>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</si>
  <si>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</si>
  <si>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</si>
  <si>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</si>
  <si>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</si>
  <si>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</si>
  <si>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</si>
  <si>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</si>
  <si>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</si>
  <si>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</si>
  <si>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</si>
  <si>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</si>
  <si>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</si>
  <si>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</si>
  <si>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</si>
  <si>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</si>
  <si>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</si>
  <si>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</si>
  <si>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</si>
  <si>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</si>
  <si>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</si>
  <si>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</si>
  <si>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</si>
  <si>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</si>
  <si>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</si>
  <si>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</si>
  <si>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</si>
  <si>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</si>
  <si>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</si>
  <si>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</si>
  <si>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</si>
  <si>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</si>
  <si>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</si>
  <si>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</si>
  <si>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</si>
  <si>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</si>
  <si>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</si>
  <si>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</si>
  <si>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</si>
  <si>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</si>
  <si>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</si>
  <si>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</si>
  <si>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</si>
  <si>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</si>
  <si>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</si>
  <si>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</si>
  <si>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</si>
  <si>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</si>
  <si>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</si>
  <si>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</si>
  <si>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</si>
  <si>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</si>
  <si>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</si>
  <si>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</si>
  <si>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</si>
  <si>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</si>
  <si>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</si>
  <si>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</si>
  <si>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</si>
  <si>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</si>
  <si>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</si>
  <si>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</si>
  <si>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</si>
  <si>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</si>
  <si>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</si>
  <si>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</si>
  <si>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</si>
  <si>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</si>
  <si>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</si>
  <si>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</si>
  <si>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</si>
  <si>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</si>
  <si>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</si>
  <si>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</si>
  <si>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</si>
  <si>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</si>
  <si>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</si>
  <si>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</si>
  <si>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</si>
  <si>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</si>
  <si>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</si>
  <si>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</si>
  <si>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</si>
  <si>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</si>
  <si>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</si>
  <si>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</si>
  <si>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</si>
  <si>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</si>
  <si>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</si>
  <si>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</si>
  <si>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</si>
  <si>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</si>
  <si>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</si>
  <si>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</si>
  <si>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</si>
  <si>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</si>
  <si>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</si>
  <si>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</si>
  <si>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</si>
  <si>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</si>
  <si>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</si>
  <si>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</si>
  <si>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</si>
  <si>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</si>
  <si>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</si>
  <si>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</si>
  <si>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</si>
  <si>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</si>
  <si>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</si>
  <si>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</si>
  <si>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</si>
  <si>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</si>
  <si>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</si>
  <si>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</si>
  <si>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</si>
  <si>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</si>
  <si>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</si>
  <si>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</si>
  <si>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</si>
  <si>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</si>
  <si>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</si>
  <si>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</si>
  <si>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</si>
  <si>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</si>
  <si>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</si>
  <si>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</si>
  <si>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</si>
  <si>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</si>
  <si>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</si>
  <si>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</si>
  <si>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</si>
  <si>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</si>
  <si>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</si>
  <si>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</si>
  <si>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</si>
  <si>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</si>
  <si>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</si>
  <si>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</si>
  <si>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</si>
  <si>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</si>
  <si>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</si>
  <si>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</si>
  <si>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</si>
  <si>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</si>
  <si>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</si>
  <si>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</si>
  <si>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</si>
  <si>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</si>
  <si>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</si>
  <si>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</si>
  <si>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</si>
  <si>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</si>
  <si>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</si>
  <si>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</si>
  <si>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</si>
  <si>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</si>
  <si>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</si>
  <si>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</si>
  <si>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</si>
  <si>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</si>
  <si>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</si>
  <si>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</si>
  <si>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</si>
  <si>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</si>
  <si>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</si>
  <si>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</si>
  <si>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</si>
  <si>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</si>
  <si>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</si>
  <si>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</si>
  <si>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</si>
  <si>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</si>
  <si>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</si>
  <si>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</si>
  <si>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</si>
  <si>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</si>
  <si>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</si>
  <si>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</si>
  <si>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</si>
  <si>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</si>
  <si>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</si>
  <si>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</si>
  <si>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</si>
  <si>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</si>
  <si>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</si>
  <si>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</si>
  <si>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</si>
  <si>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</si>
  <si>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</si>
  <si>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</si>
  <si>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</si>
  <si>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</si>
  <si>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</si>
  <si>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</si>
  <si>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</si>
  <si>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</si>
  <si>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</si>
  <si>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</si>
  <si>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</si>
  <si>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</si>
  <si>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</si>
  <si>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</si>
  <si>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</si>
  <si>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</si>
  <si>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</si>
  <si>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</si>
  <si>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</si>
  <si>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</si>
  <si>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</si>
  <si>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</si>
  <si>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</si>
  <si>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</si>
  <si>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</si>
  <si>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</si>
  <si>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</si>
  <si>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</si>
  <si>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</si>
  <si>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</si>
  <si>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</si>
  <si>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</si>
  <si>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</si>
  <si>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</si>
  <si>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</si>
  <si>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</si>
  <si>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</si>
  <si>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</si>
  <si>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</si>
  <si>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</si>
  <si>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</si>
  <si>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</si>
  <si>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</si>
  <si>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</si>
  <si>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</si>
  <si>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</si>
  <si>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</si>
  <si>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</si>
  <si>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</si>
  <si>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</si>
  <si>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</si>
  <si>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</si>
  <si>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</si>
  <si>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</si>
  <si>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</si>
  <si>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</si>
  <si>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</si>
  <si>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</si>
  <si>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</si>
  <si>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</si>
  <si>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</si>
  <si>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</si>
  <si>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</si>
  <si>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</si>
  <si>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</si>
  <si>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</si>
  <si>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</si>
  <si>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</si>
  <si>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</si>
  <si>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</si>
  <si>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</si>
  <si>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</si>
  <si>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</si>
  <si>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</si>
  <si>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</si>
  <si>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</si>
  <si>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</si>
  <si>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</si>
  <si>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</si>
  <si>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</si>
  <si>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</si>
  <si>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</si>
  <si>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</si>
  <si>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</si>
  <si>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</si>
  <si>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</si>
  <si>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</si>
  <si>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</si>
  <si>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</si>
  <si>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</si>
  <si>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</si>
  <si>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</si>
  <si>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</si>
  <si>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</si>
  <si>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</si>
  <si>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</si>
  <si>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</si>
  <si>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</si>
  <si>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</si>
  <si>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</si>
  <si>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</si>
  <si>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</si>
  <si>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</si>
  <si>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</si>
  <si>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</si>
  <si>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</si>
  <si>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</si>
  <si>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</si>
  <si>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</si>
  <si>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</si>
  <si>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</si>
  <si>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</si>
  <si>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</si>
  <si>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</si>
  <si>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</si>
  <si>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</si>
  <si>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</si>
  <si>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</si>
  <si>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</si>
  <si>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</si>
  <si>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</si>
  <si>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</si>
  <si>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</si>
  <si>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</si>
  <si>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</si>
  <si>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</si>
  <si>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</si>
  <si>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</si>
  <si>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</si>
  <si>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</si>
  <si>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</si>
  <si>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</si>
  <si>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</si>
  <si>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</si>
  <si>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</si>
  <si>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</si>
  <si>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</si>
  <si>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</si>
  <si>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</si>
  <si>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</si>
  <si>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</si>
  <si>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</si>
  <si>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</si>
  <si>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</si>
  <si>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</si>
  <si>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</si>
  <si>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</si>
  <si>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</si>
  <si>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</si>
  <si>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</si>
  <si>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</si>
  <si>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</si>
  <si>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</si>
  <si>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</si>
  <si>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</si>
  <si>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</si>
  <si>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</si>
  <si>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</si>
  <si>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</si>
  <si>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</si>
  <si>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</si>
  <si>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</si>
  <si>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</si>
  <si>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</si>
  <si>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</si>
  <si>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</si>
  <si>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</si>
  <si>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</si>
  <si>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</si>
  <si>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</si>
  <si>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</si>
  <si>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</si>
  <si>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</si>
  <si>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</si>
  <si>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</si>
  <si>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</si>
  <si>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</si>
  <si>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</si>
  <si>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</si>
  <si>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</si>
  <si>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</si>
  <si>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</si>
  <si>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</si>
  <si>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</si>
  <si>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</si>
  <si>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</si>
  <si>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</si>
  <si>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</si>
  <si>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</si>
  <si>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</si>
  <si>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</si>
  <si>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</si>
  <si>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</si>
  <si>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</si>
  <si>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</si>
  <si>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</si>
  <si>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</si>
  <si>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</si>
  <si>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</si>
  <si>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</si>
  <si>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</si>
  <si>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</si>
  <si>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</si>
  <si>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</si>
  <si>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</si>
  <si>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</si>
  <si>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</si>
  <si>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</si>
  <si>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</si>
  <si>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</si>
  <si>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</si>
  <si>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</si>
  <si>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</si>
  <si>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</si>
  <si>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</si>
  <si>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</si>
  <si>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</si>
  <si>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</si>
  <si>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</si>
  <si>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</si>
  <si>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</si>
  <si>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</si>
  <si>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</si>
  <si>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</si>
  <si>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</si>
  <si>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</si>
  <si>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</si>
  <si>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</si>
  <si>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</si>
  <si>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</si>
  <si>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</si>
  <si>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</si>
  <si>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</si>
  <si>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</si>
  <si>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</si>
  <si>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</si>
  <si>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</si>
  <si>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</si>
  <si>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</si>
  <si>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</si>
  <si>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</si>
  <si>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</si>
  <si>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</si>
  <si>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</si>
  <si>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</si>
  <si>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</si>
  <si>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</si>
  <si>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</si>
  <si>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</si>
  <si>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</si>
  <si>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</si>
  <si>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</si>
  <si>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</si>
  <si>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</si>
  <si>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</si>
  <si>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</si>
  <si>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</si>
  <si>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</si>
  <si>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</si>
  <si>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</si>
  <si>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</si>
  <si>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</si>
  <si>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</si>
  <si>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</si>
  <si>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</si>
  <si>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</si>
  <si>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</si>
  <si>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</si>
  <si>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</si>
  <si>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</si>
  <si>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</si>
  <si>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</si>
  <si>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</si>
  <si>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</si>
  <si>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</si>
  <si>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</si>
  <si>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</si>
  <si>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</si>
  <si>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</si>
  <si>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</si>
  <si>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</si>
  <si>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</si>
  <si>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</si>
  <si>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</si>
  <si>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</si>
  <si>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</si>
  <si>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</si>
  <si>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</si>
  <si>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</si>
  <si>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</si>
  <si>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</si>
  <si>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</si>
  <si>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</si>
  <si>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</si>
  <si>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</si>
  <si>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</si>
  <si>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</si>
  <si>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</si>
  <si>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</si>
  <si>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</si>
  <si>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</si>
  <si>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</si>
  <si>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</si>
  <si>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</si>
  <si>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</si>
  <si>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</si>
  <si>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</si>
  <si>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</si>
  <si>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</si>
  <si>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</si>
  <si>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</si>
  <si>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</si>
  <si>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</si>
  <si>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</si>
  <si>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</si>
  <si>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</si>
  <si>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</si>
  <si>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</si>
  <si>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</si>
  <si>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</si>
  <si>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</si>
  <si>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</si>
  <si>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</si>
  <si>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</si>
  <si>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</si>
  <si>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</si>
  <si>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</si>
  <si>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</si>
  <si>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</si>
  <si>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</si>
  <si>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</si>
  <si>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</si>
  <si>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</si>
  <si>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</si>
  <si>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</si>
  <si>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</si>
  <si>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</si>
  <si>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</si>
  <si>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</si>
  <si>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</si>
  <si>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</si>
  <si>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</si>
  <si>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</si>
  <si>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</si>
  <si>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</si>
  <si>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</si>
  <si>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</si>
  <si>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</si>
  <si>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</si>
  <si>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</si>
  <si>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</si>
  <si>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</si>
  <si>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</si>
  <si>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</si>
  <si>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</si>
  <si>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</si>
  <si>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</si>
  <si>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</si>
  <si>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</si>
  <si>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</si>
  <si>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</si>
  <si>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</si>
  <si>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</si>
  <si>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</si>
  <si>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</si>
  <si>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</si>
  <si>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</si>
  <si>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</si>
  <si>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</si>
  <si>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</si>
  <si>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</si>
  <si>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</si>
  <si>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</si>
  <si>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</si>
  <si>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</si>
  <si>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</si>
  <si>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</si>
  <si>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</si>
  <si>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</si>
  <si>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</si>
  <si>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</si>
  <si>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</si>
  <si>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</si>
  <si>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</si>
  <si>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</si>
  <si>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</si>
  <si>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</si>
  <si>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</si>
  <si>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</si>
  <si>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</si>
  <si>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</si>
  <si>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</si>
  <si>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</si>
  <si>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</si>
  <si>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</si>
  <si>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</si>
  <si>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</si>
  <si>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</si>
  <si>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</si>
  <si>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</si>
  <si>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</si>
  <si>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</si>
  <si>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</si>
  <si>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</si>
  <si>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</si>
  <si>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</si>
  <si>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</si>
  <si>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</si>
  <si>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</si>
  <si>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</si>
  <si>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</si>
  <si>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</si>
  <si>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</si>
  <si>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</si>
  <si>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</si>
  <si>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</si>
  <si>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</si>
  <si>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</si>
  <si>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</si>
  <si>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</si>
  <si>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</si>
  <si>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</si>
  <si>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</si>
  <si>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</si>
  <si>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</si>
  <si>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</si>
  <si>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</si>
  <si>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</si>
  <si>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</si>
  <si>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</si>
  <si>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</si>
  <si>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</si>
  <si>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</si>
  <si>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</si>
  <si>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</si>
  <si>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</si>
  <si>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</si>
  <si>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</si>
  <si>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</si>
  <si>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</si>
  <si>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</si>
  <si>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</si>
  <si>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</si>
  <si>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</si>
  <si>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</si>
  <si>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</si>
  <si>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</si>
  <si>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</si>
  <si>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</si>
  <si>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</si>
  <si>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</si>
  <si>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</si>
  <si>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</si>
  <si>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</si>
  <si>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</si>
  <si>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</si>
  <si>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</si>
  <si>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</si>
  <si>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</si>
  <si>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</si>
  <si>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</si>
  <si>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</si>
  <si>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</si>
  <si>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</si>
  <si>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</si>
  <si>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</si>
  <si>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</si>
  <si>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</si>
  <si>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</si>
  <si>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</si>
  <si>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</si>
  <si>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</si>
  <si>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</si>
  <si>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</si>
  <si>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</si>
  <si>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</si>
  <si>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</si>
  <si>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</si>
  <si>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</si>
  <si>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</si>
  <si>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</si>
  <si>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</si>
  <si>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</si>
  <si>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</si>
  <si>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</si>
  <si>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</si>
  <si>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</si>
  <si>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</si>
  <si>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</si>
  <si>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</si>
  <si>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</si>
  <si>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</si>
  <si>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</si>
  <si>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</si>
  <si>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</si>
  <si>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</si>
  <si>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</si>
  <si>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</si>
  <si>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</si>
  <si>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</si>
  <si>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</si>
  <si>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</si>
  <si>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</si>
  <si>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</si>
  <si>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</si>
  <si>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</si>
  <si>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</si>
  <si>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</si>
  <si>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</si>
  <si>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</si>
  <si>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</si>
  <si>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</si>
  <si>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</si>
  <si>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</si>
  <si>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</si>
  <si>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</si>
  <si>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</si>
  <si>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</si>
  <si>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</si>
  <si>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</si>
  <si>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</si>
  <si>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</si>
  <si>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</si>
  <si>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</si>
  <si>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</si>
  <si>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</si>
  <si>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</si>
  <si>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</si>
  <si>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</si>
  <si>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</si>
  <si>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</si>
  <si>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</si>
  <si>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</si>
  <si>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</si>
  <si>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</si>
  <si>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</si>
  <si>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</si>
  <si>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</si>
  <si>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</si>
  <si>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</si>
  <si>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</si>
  <si>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</si>
  <si>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</si>
  <si>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</si>
  <si>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</si>
  <si>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</si>
  <si>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</si>
  <si>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</si>
  <si>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</si>
  <si>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</si>
  <si>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</si>
  <si>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</si>
  <si>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</si>
  <si>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</si>
  <si>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</si>
  <si>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</si>
  <si>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</si>
  <si>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</si>
  <si>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</si>
  <si>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</si>
  <si>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</si>
  <si>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</si>
  <si>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</si>
  <si>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</si>
  <si>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</si>
  <si>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</si>
  <si>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</si>
  <si>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</si>
  <si>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</si>
  <si>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</si>
  <si>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</si>
  <si>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</si>
  <si>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</si>
  <si>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</si>
  <si>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</si>
  <si>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</si>
  <si>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</si>
  <si>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</si>
  <si>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</si>
  <si>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</si>
  <si>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</si>
  <si>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</si>
  <si>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</si>
  <si>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</si>
  <si>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</si>
  <si>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</si>
  <si>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</si>
  <si>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</si>
  <si>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</si>
  <si>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</si>
  <si>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</si>
  <si>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</si>
  <si>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</si>
  <si>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</si>
  <si>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</si>
  <si>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</si>
  <si>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</si>
  <si>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</si>
  <si>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</si>
  <si>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</si>
  <si>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</si>
  <si>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</si>
  <si>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</si>
  <si>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</si>
  <si>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</si>
  <si>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</si>
  <si>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</si>
  <si>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</si>
  <si>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</si>
  <si>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</si>
  <si>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</si>
  <si>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</si>
  <si>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</si>
  <si>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</si>
  <si>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</si>
  <si>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</si>
  <si>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</si>
  <si>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</si>
  <si>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</si>
  <si>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</si>
  <si>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</si>
  <si>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</si>
  <si>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</si>
  <si>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</si>
  <si>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</si>
  <si>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</si>
  <si>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</si>
  <si>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</si>
  <si>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</si>
  <si>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</si>
  <si>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</si>
  <si>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</si>
  <si>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</si>
  <si>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</si>
  <si>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</si>
  <si>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</si>
  <si>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</si>
  <si>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</si>
  <si>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</si>
  <si>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</si>
  <si>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</si>
  <si>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</si>
  <si>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</si>
  <si>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</si>
  <si>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</si>
  <si>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</si>
  <si>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</si>
  <si>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</si>
  <si>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</si>
  <si>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</si>
  <si>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</si>
  <si>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</si>
  <si>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</si>
  <si>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</si>
  <si>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</si>
  <si>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</si>
  <si>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</si>
  <si>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</si>
  <si>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</si>
  <si>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</si>
  <si>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</si>
  <si>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</si>
  <si>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</si>
  <si>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</si>
  <si>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</si>
  <si>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</si>
  <si>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</si>
  <si>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</si>
  <si>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</si>
  <si>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</si>
  <si>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</si>
  <si>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</si>
  <si>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</si>
  <si>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</si>
  <si>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</si>
  <si>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</si>
  <si>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</si>
  <si>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</si>
  <si>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</si>
  <si>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</si>
  <si>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</si>
  <si>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</si>
  <si>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</si>
  <si>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</si>
  <si>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</si>
  <si>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</si>
  <si>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</si>
  <si>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</si>
  <si>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</si>
  <si>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</si>
  <si>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</si>
  <si>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</si>
  <si>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</si>
  <si>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</si>
  <si>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</si>
  <si>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</si>
  <si>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</si>
  <si>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</si>
  <si>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</si>
  <si>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</si>
  <si>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</si>
  <si>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</si>
  <si>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</si>
  <si>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</si>
  <si>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</si>
  <si>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</si>
  <si>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</si>
  <si>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</si>
  <si>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</si>
  <si>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</si>
  <si>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</si>
  <si>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</si>
  <si>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</si>
  <si>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</si>
  <si>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</si>
  <si>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</si>
  <si>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</si>
  <si>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</si>
  <si>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</si>
  <si>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</si>
  <si>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</si>
  <si>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</si>
  <si>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</si>
  <si>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</si>
  <si>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</si>
  <si>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</si>
  <si>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</si>
  <si>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</si>
  <si>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</si>
  <si>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</si>
  <si>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</si>
  <si>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</si>
  <si>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</si>
  <si>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</si>
  <si>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</si>
  <si>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</si>
  <si>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</si>
  <si>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</si>
  <si>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</si>
  <si>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</si>
  <si>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</si>
  <si>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</si>
  <si>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</si>
  <si>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</si>
  <si>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</si>
  <si>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</si>
  <si>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</si>
  <si>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</si>
  <si>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</si>
  <si>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</si>
  <si>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</si>
  <si>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</si>
  <si>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</si>
  <si>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</si>
  <si>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</si>
  <si>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</si>
  <si>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</si>
  <si>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</si>
  <si>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</si>
  <si>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</si>
  <si>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</si>
  <si>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</si>
  <si>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</si>
  <si>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</si>
  <si>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</si>
  <si>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</si>
  <si>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</si>
  <si>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</si>
  <si>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</si>
  <si>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</si>
  <si>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</si>
  <si>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</si>
  <si>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</si>
  <si>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</si>
  <si>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</si>
  <si>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</si>
  <si>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</si>
  <si>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</si>
  <si>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</si>
  <si>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</si>
  <si>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</si>
  <si>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</si>
  <si>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</si>
  <si>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</si>
  <si>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</si>
  <si>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</si>
  <si>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</si>
  <si>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</si>
  <si>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</si>
  <si>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</si>
  <si>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</si>
  <si>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</si>
  <si>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</si>
  <si>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</si>
  <si>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</si>
  <si>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</si>
  <si>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</si>
  <si>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</si>
  <si>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</si>
  <si>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</si>
  <si>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</si>
  <si>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</si>
  <si>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</si>
  <si>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</si>
  <si>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</si>
  <si>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</si>
  <si>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</si>
  <si>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</si>
  <si>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</si>
  <si>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</si>
  <si>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</si>
  <si>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</si>
  <si>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</si>
  <si>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</si>
  <si>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</si>
  <si>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</si>
  <si>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</si>
  <si>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</si>
  <si>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</si>
  <si>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</si>
  <si>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</si>
  <si>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</si>
  <si>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</si>
  <si>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</si>
  <si>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</si>
  <si>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</si>
  <si>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</si>
  <si>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</si>
  <si>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</si>
  <si>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</si>
  <si>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</si>
  <si>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</si>
  <si>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</si>
  <si>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</si>
  <si>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</si>
  <si>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</si>
  <si>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</si>
  <si>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</si>
  <si>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</si>
  <si>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</si>
  <si>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</si>
  <si>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</si>
  <si>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</si>
  <si>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</si>
  <si>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</si>
  <si>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</si>
  <si>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</si>
  <si>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</si>
  <si>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</si>
  <si>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</si>
  <si>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</si>
  <si>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</si>
  <si>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</si>
  <si>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</si>
  <si>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</si>
  <si>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</si>
  <si>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</si>
  <si>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</si>
  <si>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</si>
  <si>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</si>
  <si>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</si>
  <si>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</si>
  <si>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</si>
  <si>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</si>
  <si>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</si>
  <si>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</si>
  <si>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</si>
  <si>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</si>
  <si>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</si>
  <si>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</si>
  <si>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</si>
  <si>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</si>
  <si>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</si>
  <si>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</si>
  <si>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</si>
  <si>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</si>
  <si>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</si>
  <si>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</si>
  <si>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</si>
  <si>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</si>
  <si>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</si>
  <si>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</si>
  <si>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</si>
  <si>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</si>
  <si>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</si>
  <si>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</si>
  <si>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</si>
  <si>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</si>
  <si>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</si>
  <si>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</si>
  <si>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</si>
  <si>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</si>
  <si>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</si>
  <si>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</si>
  <si>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</si>
  <si>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</si>
  <si>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</si>
  <si>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</si>
  <si>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</si>
  <si>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</si>
  <si>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</si>
  <si>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</si>
  <si>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</si>
  <si>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</si>
  <si>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</si>
  <si>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</si>
  <si>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</si>
  <si>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</si>
  <si>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</si>
  <si>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</si>
  <si>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</si>
  <si>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</si>
  <si>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</si>
  <si>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</si>
  <si>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</si>
  <si>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</si>
  <si>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</si>
  <si>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</si>
  <si>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</si>
  <si>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</si>
  <si>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</si>
  <si>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</si>
  <si>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</si>
  <si>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</si>
  <si>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</si>
  <si>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</si>
  <si>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</si>
  <si>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</si>
  <si>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</si>
  <si>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</si>
  <si>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</si>
  <si>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</si>
  <si>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</si>
  <si>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</si>
  <si>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</si>
  <si>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</si>
  <si>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</si>
  <si>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</si>
  <si>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</si>
  <si>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</si>
  <si>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</si>
  <si>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</si>
  <si>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</si>
  <si>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</si>
  <si>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</si>
  <si>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</si>
  <si>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</si>
  <si>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</si>
  <si>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</si>
  <si>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</si>
  <si>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</si>
  <si>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</si>
  <si>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</si>
  <si>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</si>
  <si>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</si>
  <si>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</si>
  <si>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</si>
  <si>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</si>
  <si>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</si>
  <si>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</si>
  <si>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</si>
  <si>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</si>
  <si>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</si>
  <si>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</si>
  <si>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</si>
  <si>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</si>
  <si>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</si>
  <si>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</si>
  <si>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</si>
  <si>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</si>
  <si>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</si>
  <si>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</si>
  <si>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</si>
  <si>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</si>
  <si>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</si>
  <si>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</si>
  <si>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</si>
  <si>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</si>
  <si>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</si>
  <si>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</si>
  <si>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</si>
  <si>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</si>
  <si>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</si>
  <si>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</si>
  <si>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</si>
  <si>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</si>
  <si>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</si>
  <si>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</si>
  <si>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</si>
  <si>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</si>
  <si>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</si>
  <si>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</si>
  <si>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</si>
  <si>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</si>
  <si>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</si>
  <si>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</si>
  <si>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</si>
  <si>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</si>
  <si>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</si>
  <si>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</si>
  <si>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</si>
  <si>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</si>
  <si>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</si>
  <si>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</si>
  <si>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</si>
  <si>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</si>
  <si>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</si>
  <si>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</si>
  <si>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</si>
  <si>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</si>
  <si>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</si>
  <si>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</si>
  <si>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</si>
  <si>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</si>
  <si>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</si>
  <si>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</si>
  <si>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</si>
  <si>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</si>
  <si>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</si>
  <si>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</si>
  <si>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</si>
  <si>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</si>
  <si>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</si>
  <si>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</si>
  <si>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</si>
  <si>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</si>
  <si>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</si>
  <si>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</si>
  <si>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</si>
  <si>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</si>
  <si>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</si>
  <si>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</si>
  <si>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</si>
  <si>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</si>
  <si>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</si>
  <si>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</si>
  <si>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</si>
  <si>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</si>
  <si>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</si>
  <si>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</si>
  <si>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</si>
  <si>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</si>
  <si>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</si>
  <si>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</si>
  <si>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</si>
  <si>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</si>
  <si>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</si>
  <si>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</si>
  <si>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</si>
  <si>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</si>
  <si>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</si>
  <si>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</si>
  <si>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</si>
  <si>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</si>
  <si>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</si>
  <si>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</si>
  <si>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</si>
  <si>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</si>
  <si>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</si>
  <si>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</si>
  <si>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</si>
  <si>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</si>
  <si>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</si>
  <si>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</si>
  <si>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</si>
  <si>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</si>
  <si>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</si>
  <si>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</si>
  <si>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</si>
  <si>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</si>
  <si>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</si>
  <si>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</si>
  <si>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</si>
  <si>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</si>
  <si>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</si>
  <si>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</si>
  <si>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</si>
  <si>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</si>
  <si>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</si>
  <si>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</si>
  <si>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</si>
  <si>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</si>
  <si>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</si>
  <si>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</si>
  <si>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</si>
  <si>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</si>
  <si>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</si>
  <si>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</si>
  <si>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</si>
  <si>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</si>
  <si>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</si>
  <si>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</si>
  <si>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</si>
  <si>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</si>
  <si>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</si>
  <si>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</si>
  <si>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</si>
  <si>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</si>
  <si>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</si>
  <si>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</si>
  <si>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</si>
  <si>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</si>
  <si>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</si>
  <si>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</si>
  <si>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</si>
  <si>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</si>
  <si>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</si>
  <si>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</si>
  <si>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</si>
  <si>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</si>
  <si>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</si>
  <si>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</si>
  <si>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</si>
  <si>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</si>
  <si>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</si>
  <si>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</si>
  <si>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</si>
  <si>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</si>
  <si>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</si>
  <si>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</si>
  <si>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</si>
  <si>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</si>
  <si>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</si>
  <si>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</si>
  <si>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</si>
  <si>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</si>
  <si>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</si>
  <si>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</si>
  <si>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</si>
  <si>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</si>
  <si>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</si>
  <si>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</si>
  <si>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</si>
  <si>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</si>
  <si>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</si>
  <si>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</si>
  <si>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</si>
  <si>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</si>
  <si>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</si>
  <si>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</si>
  <si>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</si>
  <si>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</si>
  <si>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</si>
  <si>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</si>
  <si>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</si>
  <si>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</si>
  <si>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</si>
  <si>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</si>
  <si>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</si>
  <si>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</si>
  <si>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</si>
  <si>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</si>
  <si>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</si>
  <si>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</si>
  <si>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</si>
  <si>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</si>
  <si>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</si>
  <si>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</si>
  <si>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</si>
  <si>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</si>
  <si>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</si>
  <si>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</si>
  <si>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</si>
  <si>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</si>
  <si>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</si>
  <si>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</si>
  <si>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</si>
  <si>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</si>
  <si>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</si>
  <si>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</si>
  <si>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</si>
  <si>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</si>
  <si>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</si>
  <si>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</si>
  <si>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</si>
  <si>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</si>
  <si>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</si>
  <si>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</si>
  <si>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</si>
  <si>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</si>
  <si>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</si>
  <si>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</si>
  <si>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</si>
  <si>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</si>
  <si>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</si>
  <si>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</si>
  <si>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</si>
  <si>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</si>
  <si>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</si>
  <si>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</si>
  <si>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</si>
  <si>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</si>
  <si>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</si>
  <si>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</si>
  <si>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</si>
  <si>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</si>
  <si>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</si>
  <si>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</si>
  <si>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</si>
  <si>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</si>
  <si>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</si>
  <si>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</si>
  <si>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</si>
  <si>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</si>
  <si>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</si>
  <si>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</si>
  <si>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</si>
  <si>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</si>
  <si>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</si>
  <si>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</si>
  <si>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</si>
  <si>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</si>
  <si>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</si>
  <si>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</si>
  <si>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</si>
  <si>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</si>
  <si>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</si>
  <si>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</si>
  <si>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</si>
  <si>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</si>
  <si>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</si>
  <si>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</si>
  <si>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</si>
  <si>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</si>
  <si>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</si>
  <si>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</si>
  <si>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</si>
  <si>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</si>
  <si>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</si>
  <si>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</si>
  <si>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</si>
  <si>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</si>
  <si>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</si>
  <si>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</si>
  <si>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</si>
  <si>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</si>
  <si>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</si>
  <si>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</si>
  <si>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</si>
  <si>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</si>
  <si>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</si>
  <si>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</si>
  <si>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</si>
  <si>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</si>
  <si>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</si>
  <si>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</si>
  <si>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</si>
  <si>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</si>
  <si>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</si>
  <si>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</si>
  <si>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</si>
  <si>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</si>
  <si>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</si>
  <si>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</si>
  <si>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</si>
  <si>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</si>
  <si>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</si>
  <si>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</si>
  <si>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</si>
  <si>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</si>
  <si>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</si>
  <si>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</si>
  <si>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</si>
  <si>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</si>
  <si>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</si>
  <si>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</si>
  <si>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</si>
  <si>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</si>
  <si>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</si>
  <si>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</si>
  <si>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</si>
  <si>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</si>
  <si>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</si>
  <si>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</si>
  <si>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</si>
  <si>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</si>
  <si>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</si>
  <si>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</si>
  <si>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</si>
  <si>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</si>
  <si>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</si>
  <si>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</si>
  <si>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</si>
  <si>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</si>
  <si>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</si>
  <si>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</si>
  <si>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</si>
  <si>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</si>
  <si>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</si>
  <si>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</si>
  <si>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</si>
  <si>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</si>
  <si>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</si>
  <si>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</si>
  <si>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</si>
  <si>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</si>
  <si>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</si>
  <si>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</si>
  <si>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</si>
  <si>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</si>
  <si>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</si>
  <si>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</si>
  <si>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</si>
  <si>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</si>
  <si>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</si>
  <si>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</si>
  <si>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</si>
  <si>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</si>
  <si>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</si>
  <si>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</si>
  <si>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</si>
  <si>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</si>
  <si>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</si>
  <si>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</si>
  <si>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</si>
  <si>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</si>
  <si>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</si>
  <si>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</si>
  <si>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</si>
  <si>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</si>
  <si>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</si>
  <si>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</si>
  <si>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</si>
  <si>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</si>
  <si>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</si>
  <si>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</si>
  <si>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</si>
  <si>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</si>
  <si>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</si>
  <si>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</si>
  <si>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</si>
  <si>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</si>
  <si>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</si>
  <si>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</si>
  <si>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</si>
  <si>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</si>
  <si>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</si>
  <si>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</si>
  <si>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</si>
  <si>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</si>
  <si>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</si>
  <si>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</si>
  <si>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</si>
  <si>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</si>
  <si>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</si>
  <si>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</si>
  <si>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</si>
  <si>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</si>
  <si>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</si>
  <si>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</si>
  <si>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</si>
  <si>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</si>
  <si>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</si>
  <si>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</si>
  <si>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</si>
  <si>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</si>
  <si>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</si>
  <si>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</si>
  <si>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</si>
  <si>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</si>
  <si>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</si>
  <si>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</si>
  <si>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</si>
  <si>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</si>
  <si>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</si>
  <si>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</si>
  <si>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</si>
  <si>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</si>
  <si>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</si>
  <si>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</si>
  <si>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</si>
  <si>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</si>
  <si>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</si>
  <si>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</si>
  <si>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</si>
  <si>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</si>
  <si>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</si>
  <si>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</si>
  <si>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</si>
  <si>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</si>
  <si>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</si>
  <si>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</si>
  <si>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</si>
  <si>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</si>
  <si>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</si>
  <si>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</si>
  <si>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</si>
  <si>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</si>
  <si>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</si>
  <si>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</si>
  <si>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</si>
  <si>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</si>
  <si>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</si>
  <si>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</si>
  <si>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</si>
  <si>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</si>
  <si>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</si>
  <si>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</si>
  <si>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</si>
  <si>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</si>
  <si>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</si>
  <si>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</si>
  <si>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</si>
  <si>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</si>
  <si>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</si>
  <si>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</si>
  <si>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</si>
  <si>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</si>
  <si>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</si>
  <si>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</si>
  <si>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</si>
  <si>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</si>
  <si>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</si>
  <si>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</si>
  <si>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</si>
  <si>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</si>
  <si>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</si>
  <si>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</si>
  <si>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</si>
  <si>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</si>
  <si>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</si>
  <si>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</si>
  <si>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</si>
  <si>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</si>
  <si>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</si>
  <si>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</si>
  <si>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</si>
  <si>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</si>
  <si>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</si>
  <si>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</si>
  <si>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</si>
  <si>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</si>
  <si>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</si>
  <si>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</si>
  <si>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</si>
  <si>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</si>
  <si>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</si>
  <si>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</si>
  <si>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</si>
  <si>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</si>
  <si>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</si>
  <si>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</si>
  <si>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</si>
  <si>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</si>
  <si>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</si>
  <si>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</si>
  <si>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</si>
  <si>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</si>
  <si>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</si>
  <si>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</si>
  <si>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</si>
  <si>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</si>
  <si>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</si>
  <si>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</si>
  <si>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</si>
  <si>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</si>
  <si>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</si>
  <si>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</si>
  <si>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</si>
  <si>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</si>
  <si>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</si>
  <si>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</si>
  <si>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</si>
  <si>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</si>
  <si>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</si>
  <si>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</si>
  <si>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</si>
  <si>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</si>
  <si>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</si>
  <si>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</si>
  <si>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</si>
  <si>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</si>
  <si>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</si>
  <si>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</si>
  <si>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</si>
  <si>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</si>
  <si>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</si>
  <si>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</si>
  <si>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</si>
  <si>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</si>
  <si>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</si>
  <si>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</si>
  <si>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</si>
  <si>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</si>
  <si>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</si>
  <si>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</si>
  <si>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</si>
  <si>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</si>
  <si>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</si>
  <si>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</si>
  <si>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</si>
  <si>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</si>
  <si>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</si>
  <si>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</si>
  <si>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</si>
  <si>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</si>
  <si>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</si>
  <si>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</si>
  <si>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</si>
  <si>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</si>
  <si>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</si>
  <si>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</si>
  <si>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</si>
  <si>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</si>
  <si>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</si>
  <si>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</si>
  <si>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</si>
  <si>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</si>
  <si>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</si>
  <si>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</si>
  <si>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</si>
  <si>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</si>
  <si>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</si>
  <si>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</si>
  <si>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</si>
  <si>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</si>
  <si>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</si>
  <si>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</si>
  <si>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</si>
  <si>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</si>
  <si>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</si>
  <si>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</si>
  <si>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</si>
  <si>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</si>
  <si>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</si>
  <si>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</si>
  <si>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</si>
  <si>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</si>
  <si>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</si>
  <si>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</si>
  <si>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</si>
  <si>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</si>
  <si>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</si>
  <si>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</si>
  <si>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</si>
  <si>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</si>
  <si>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</si>
  <si>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</si>
  <si>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</si>
  <si>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</si>
  <si>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</si>
  <si>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</si>
  <si>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</si>
  <si>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</si>
  <si>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</si>
  <si>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</si>
  <si>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</si>
  <si>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</si>
  <si>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</si>
  <si>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</si>
  <si>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</si>
  <si>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</si>
  <si>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</si>
  <si>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</si>
  <si>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</si>
  <si>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</si>
  <si>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</si>
  <si>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</si>
  <si>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</si>
  <si>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</si>
  <si>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</si>
  <si>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</si>
  <si>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</si>
  <si>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</si>
  <si>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</si>
  <si>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</si>
  <si>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</si>
  <si>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</si>
  <si>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</si>
  <si>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</si>
  <si>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</si>
  <si>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</si>
  <si>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</si>
  <si>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</si>
  <si>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</si>
  <si>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</si>
  <si>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</si>
  <si>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</si>
  <si>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</si>
  <si>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</si>
  <si>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</si>
  <si>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</si>
  <si>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</si>
  <si>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</si>
  <si>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</si>
  <si>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</si>
  <si>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</si>
  <si>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</si>
  <si>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</si>
  <si>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</si>
  <si>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</si>
  <si>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</si>
  <si>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</si>
  <si>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</si>
  <si>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</si>
  <si>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</si>
  <si>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</si>
  <si>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</si>
  <si>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</si>
  <si>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</si>
  <si>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</si>
  <si>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</si>
  <si>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</si>
  <si>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</si>
  <si>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</si>
  <si>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</si>
  <si>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</si>
  <si>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</si>
  <si>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</si>
  <si>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</si>
  <si>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</si>
  <si>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</si>
  <si>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</si>
  <si>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</si>
  <si>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</si>
  <si>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</si>
  <si>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</si>
  <si>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</si>
  <si>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</si>
  <si>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</si>
  <si>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</si>
  <si>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</si>
  <si>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</si>
  <si>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</si>
  <si>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</si>
  <si>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</si>
  <si>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</si>
  <si>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</si>
  <si>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</si>
  <si>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</si>
  <si>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</si>
  <si>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</si>
  <si>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</si>
  <si>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</si>
  <si>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</si>
  <si>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</si>
  <si>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</si>
  <si>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</si>
  <si>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</si>
  <si>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</si>
  <si>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</si>
  <si>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</si>
  <si>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</si>
  <si>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</si>
  <si>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</si>
  <si>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</si>
  <si>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</si>
  <si>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</si>
  <si>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</si>
  <si>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</si>
  <si>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</si>
  <si>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</si>
  <si>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</si>
  <si>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</si>
  <si>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</si>
  <si>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</si>
  <si>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</si>
  <si>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</si>
  <si>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</si>
  <si>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</si>
  <si>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</si>
  <si>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</si>
  <si>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</si>
  <si>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</si>
  <si>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</si>
  <si>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</si>
  <si>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</si>
  <si>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</si>
  <si>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</si>
  <si>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</si>
  <si>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</si>
  <si>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</si>
  <si>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</si>
  <si>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</si>
  <si>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</si>
  <si>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</si>
  <si>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</si>
  <si>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</si>
  <si>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</si>
  <si>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</si>
  <si>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</si>
  <si>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</si>
  <si>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</si>
  <si>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</si>
  <si>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</si>
  <si>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</si>
  <si>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</si>
  <si>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</si>
  <si>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</si>
  <si>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</si>
  <si>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</si>
  <si>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</si>
  <si>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</si>
  <si>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</si>
  <si>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</si>
  <si>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</si>
  <si>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</si>
  <si>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</si>
  <si>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</si>
  <si>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</si>
  <si>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</si>
  <si>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</si>
  <si>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</si>
  <si>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</si>
  <si>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</si>
  <si>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</si>
  <si>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</si>
  <si>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</si>
  <si>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</si>
  <si>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</si>
  <si>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</si>
  <si>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</si>
  <si>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</si>
  <si>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</si>
  <si>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</si>
  <si>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</si>
  <si>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</si>
  <si>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</si>
  <si>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</si>
  <si>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</si>
  <si>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</si>
  <si>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</si>
  <si>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</si>
  <si>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</si>
  <si>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</si>
  <si>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</si>
  <si>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</si>
  <si>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</si>
  <si>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</si>
  <si>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</si>
  <si>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</si>
  <si>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</si>
  <si>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</si>
  <si>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</si>
  <si>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</si>
  <si>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</si>
  <si>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</si>
  <si>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</si>
  <si>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</si>
  <si>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</si>
  <si>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</si>
  <si>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</si>
  <si>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</si>
  <si>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</si>
  <si>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</si>
  <si>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</si>
  <si>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</si>
  <si>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</si>
  <si>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</si>
  <si>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</si>
  <si>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</si>
  <si>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</si>
  <si>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</si>
  <si>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</si>
  <si>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</si>
  <si>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</si>
  <si>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</si>
  <si>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</si>
  <si>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</si>
  <si>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</si>
  <si>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</si>
  <si>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</si>
  <si>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</si>
  <si>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</si>
  <si>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</si>
  <si>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</si>
  <si>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</si>
  <si>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</si>
  <si>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</si>
  <si>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</si>
  <si>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</si>
  <si>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</si>
  <si>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</si>
  <si>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</si>
  <si>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</si>
  <si>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</si>
  <si>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</si>
  <si>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</si>
  <si>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</si>
  <si>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</si>
  <si>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</si>
  <si>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</si>
  <si>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</si>
  <si>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</si>
  <si>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</si>
  <si>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</si>
  <si>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</si>
  <si>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</si>
  <si>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</si>
  <si>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</si>
  <si>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</si>
  <si>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</si>
  <si>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</si>
  <si>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</si>
  <si>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</si>
  <si>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</si>
  <si>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</si>
  <si>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</si>
  <si>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</si>
  <si>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</si>
  <si>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</si>
  <si>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</si>
  <si>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</si>
  <si>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</si>
  <si>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</si>
  <si>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</si>
  <si>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</si>
  <si>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</si>
  <si>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</si>
  <si>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</si>
  <si>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</si>
  <si>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</si>
  <si>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</si>
  <si>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</si>
  <si>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</si>
  <si>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</si>
  <si>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</si>
  <si>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</si>
  <si>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</si>
  <si>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</si>
  <si>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</si>
  <si>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</si>
  <si>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</si>
  <si>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</si>
  <si>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</si>
  <si>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</si>
  <si>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</si>
  <si>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</si>
  <si>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</si>
  <si>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</si>
  <si>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</si>
  <si>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</si>
  <si>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</si>
  <si>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</si>
  <si>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</si>
  <si>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</si>
  <si>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</si>
  <si>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</si>
  <si>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</si>
  <si>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</si>
  <si>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</si>
  <si>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</si>
  <si>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</si>
  <si>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</si>
  <si>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</si>
  <si>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</si>
  <si>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</si>
  <si>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</si>
  <si>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</si>
  <si>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</si>
  <si>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</si>
  <si>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</si>
  <si>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</si>
  <si>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</si>
  <si>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</si>
  <si>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</si>
  <si>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</si>
  <si>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</si>
  <si>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</si>
  <si>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</si>
  <si>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</si>
  <si>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</si>
  <si>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</si>
  <si>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</si>
  <si>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</si>
  <si>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</si>
  <si>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</si>
  <si>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</si>
  <si>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</si>
  <si>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</si>
  <si>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</si>
  <si>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</si>
  <si>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</si>
  <si>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</si>
  <si>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</si>
  <si>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</si>
  <si>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</si>
  <si>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</si>
  <si>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</si>
  <si>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</si>
  <si>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</si>
  <si>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</si>
  <si>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</si>
  <si>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</si>
  <si>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</si>
  <si>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</si>
  <si>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</si>
  <si>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</si>
  <si>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</si>
  <si>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</si>
  <si>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</si>
  <si>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</si>
  <si>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</si>
  <si>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</si>
  <si>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</si>
  <si>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</si>
  <si>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</si>
  <si>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</si>
  <si>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</si>
  <si>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</si>
  <si>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</si>
  <si>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</si>
  <si>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</si>
  <si>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</si>
  <si>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</si>
  <si>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</si>
  <si>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</si>
  <si>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</si>
  <si>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</si>
  <si>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</si>
  <si>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</si>
  <si>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</si>
  <si>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</si>
  <si>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</si>
  <si>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</si>
  <si>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</si>
  <si>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</si>
  <si>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</si>
  <si>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</si>
  <si>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</si>
  <si>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</si>
  <si>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</si>
  <si>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</si>
  <si>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</si>
  <si>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</si>
  <si>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</si>
  <si>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</si>
  <si>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</si>
  <si>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</si>
  <si>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</si>
  <si>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</si>
  <si>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</si>
  <si>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</si>
  <si>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</si>
  <si>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</si>
  <si>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</si>
  <si>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</si>
  <si>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</si>
  <si>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</si>
  <si>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</si>
  <si>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</si>
  <si>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</si>
  <si>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</si>
  <si>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</si>
  <si>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</si>
  <si>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</si>
  <si>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</si>
  <si>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</si>
  <si>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</si>
  <si>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</si>
  <si>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</si>
  <si>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</si>
  <si>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</si>
  <si>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</si>
  <si>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</si>
  <si>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</si>
  <si>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</si>
  <si>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</si>
  <si>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</si>
  <si>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</si>
  <si>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</si>
  <si>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</si>
  <si>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</si>
  <si>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</si>
  <si>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</si>
  <si>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</si>
  <si>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</si>
  <si>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</si>
  <si>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</si>
  <si>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</si>
  <si>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</si>
  <si>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</si>
  <si>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</si>
  <si>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</si>
  <si>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</si>
  <si>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</si>
  <si>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</si>
  <si>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</si>
  <si>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</si>
  <si>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</si>
  <si>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</si>
  <si>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</si>
  <si>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</si>
  <si>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</si>
  <si>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</si>
  <si>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</si>
  <si>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</si>
  <si>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</si>
  <si>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</si>
  <si>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</si>
  <si>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</si>
  <si>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</si>
  <si>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</si>
  <si>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</si>
  <si>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</si>
  <si>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</si>
  <si>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</si>
  <si>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</si>
  <si>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</si>
  <si>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</si>
  <si>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</si>
  <si>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</si>
  <si>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</si>
  <si>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</si>
  <si>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</si>
  <si>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</si>
  <si>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</si>
  <si>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</si>
  <si>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</si>
  <si>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</si>
  <si>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</si>
  <si>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</si>
  <si>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</si>
  <si>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</si>
  <si>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</si>
  <si>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</si>
  <si>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</si>
  <si>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</si>
  <si>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</si>
  <si>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</si>
  <si>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</si>
  <si>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</si>
  <si>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</si>
  <si>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</si>
  <si>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</si>
  <si>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</si>
  <si>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</si>
  <si>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</si>
  <si>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</si>
  <si>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</si>
  <si>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</si>
  <si>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</si>
  <si>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</si>
  <si>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</si>
  <si>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</si>
  <si>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</si>
  <si>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</si>
  <si>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</si>
  <si>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</si>
  <si>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</si>
  <si>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</si>
  <si>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</si>
  <si>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</si>
  <si>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</si>
  <si>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</si>
  <si>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</si>
  <si>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</si>
  <si>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</si>
  <si>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</si>
  <si>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</si>
  <si>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</si>
  <si>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</si>
  <si>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</si>
  <si>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</si>
  <si>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</si>
  <si>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</si>
  <si>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</si>
  <si>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</si>
  <si>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</si>
  <si>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</si>
  <si>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</si>
  <si>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</si>
  <si>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</si>
  <si>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</si>
  <si>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</si>
  <si>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</si>
  <si>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</si>
  <si>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</si>
  <si>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</si>
  <si>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</si>
  <si>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</si>
  <si>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</si>
  <si>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</si>
  <si>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</si>
  <si>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</si>
  <si>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</si>
  <si>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</si>
  <si>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</si>
  <si>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</si>
  <si>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</si>
  <si>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</si>
  <si>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</si>
  <si>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</si>
  <si>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</si>
  <si>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</si>
  <si>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</si>
  <si>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</si>
  <si>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</si>
  <si>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</si>
  <si>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</si>
  <si>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</si>
  <si>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</si>
  <si>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</si>
  <si>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</si>
  <si>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</si>
  <si>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</si>
  <si>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</si>
  <si>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</si>
  <si>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</si>
  <si>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</si>
  <si>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</si>
  <si>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</si>
  <si>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</si>
  <si>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</si>
  <si>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</si>
  <si>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</si>
  <si>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</si>
  <si>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</si>
  <si>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</si>
  <si>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</si>
  <si>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</si>
  <si>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</si>
  <si>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</si>
  <si>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</si>
  <si>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</si>
  <si>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</si>
  <si>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</si>
  <si>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</si>
  <si>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</si>
  <si>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</si>
  <si>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</si>
  <si>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</si>
  <si>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</si>
  <si>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</si>
  <si>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</si>
  <si>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</si>
  <si>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</si>
  <si>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</si>
  <si>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</si>
  <si>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</si>
  <si>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</si>
  <si>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</si>
  <si>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</si>
  <si>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</si>
  <si>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</si>
  <si>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</si>
  <si>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</si>
  <si>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</si>
  <si>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</si>
  <si>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</si>
  <si>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</si>
  <si>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</si>
  <si>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</si>
  <si>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</si>
  <si>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</si>
  <si>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</si>
  <si>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</si>
  <si>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</si>
  <si>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</si>
  <si>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</si>
  <si>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</si>
  <si>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</si>
  <si>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</si>
  <si>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</si>
  <si>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</si>
  <si>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</si>
  <si>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</si>
  <si>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</si>
  <si>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</si>
  <si>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</si>
  <si>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</si>
  <si>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</si>
  <si>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</si>
  <si>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</si>
  <si>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</si>
  <si>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</si>
  <si>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</si>
  <si>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</si>
  <si>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</si>
  <si>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</si>
  <si>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</si>
  <si>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</si>
  <si>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</si>
  <si>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</si>
  <si>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</si>
  <si>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</si>
  <si>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</si>
  <si>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</si>
  <si>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</si>
  <si>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</si>
  <si>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</si>
  <si>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</si>
  <si>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</si>
  <si>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</si>
  <si>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</si>
  <si>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</si>
  <si>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</si>
  <si>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</si>
  <si>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</si>
  <si>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</si>
  <si>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</si>
  <si>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</si>
  <si>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</si>
  <si>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</si>
  <si>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</si>
  <si>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</si>
  <si>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</si>
  <si>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</si>
  <si>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</si>
  <si>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</si>
  <si>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</si>
  <si>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</si>
  <si>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</si>
  <si>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</si>
  <si>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</si>
  <si>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</si>
  <si>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</si>
  <si>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</si>
  <si>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</si>
  <si>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</si>
  <si>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</si>
  <si>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</si>
  <si>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</si>
  <si>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</si>
  <si>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</si>
  <si>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</si>
  <si>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</si>
  <si>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</si>
  <si>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</si>
  <si>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</si>
  <si>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</si>
  <si>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</si>
  <si>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</si>
  <si>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</si>
  <si>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</si>
  <si>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</si>
  <si>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</si>
  <si>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</si>
  <si>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</si>
  <si>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</si>
  <si>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</si>
  <si>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</si>
  <si>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</si>
  <si>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</si>
  <si>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</si>
  <si>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</si>
  <si>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</si>
  <si>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</si>
  <si>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</si>
  <si>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</si>
  <si>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</si>
  <si>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</si>
  <si>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</si>
  <si>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</si>
  <si>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</si>
  <si>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</si>
  <si>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</si>
  <si>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</si>
  <si>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</si>
  <si>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</si>
  <si>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</si>
  <si>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</si>
  <si>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</si>
  <si>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</si>
  <si>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</si>
  <si>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</si>
  <si>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</si>
  <si>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</si>
  <si>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</si>
  <si>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</si>
  <si>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</si>
  <si>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</si>
  <si>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</si>
  <si>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</si>
  <si>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</si>
  <si>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</si>
  <si>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</si>
  <si>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</si>
  <si>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</si>
  <si>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</si>
  <si>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</si>
  <si>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</si>
  <si>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</si>
  <si>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</si>
  <si>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</si>
  <si>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</si>
  <si>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</si>
  <si>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</si>
  <si>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</si>
  <si>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</si>
  <si>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</si>
  <si>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</si>
  <si>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</si>
  <si>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</si>
  <si>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</si>
  <si>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</si>
  <si>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</si>
  <si>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</si>
  <si>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</si>
  <si>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</si>
  <si>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</si>
  <si>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</si>
  <si>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</si>
  <si>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</si>
  <si>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</si>
  <si>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</si>
  <si>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</si>
  <si>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</si>
  <si>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</si>
  <si>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</si>
  <si>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</si>
  <si>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</si>
  <si>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</si>
  <si>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</si>
  <si>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</si>
  <si>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</si>
  <si>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</si>
  <si>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</si>
  <si>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</si>
  <si>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</si>
  <si>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</si>
  <si>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</si>
  <si>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</si>
  <si>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</si>
  <si>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</si>
  <si>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</si>
  <si>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</si>
  <si>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</si>
  <si>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</si>
  <si>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</si>
  <si>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</si>
  <si>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</si>
  <si>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</si>
  <si>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</si>
  <si>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</si>
  <si>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</si>
  <si>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</si>
  <si>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</si>
  <si>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</si>
  <si>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</si>
  <si>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</si>
  <si>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</si>
  <si>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</si>
  <si>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</si>
  <si>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</si>
  <si>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</si>
  <si>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</si>
  <si>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</si>
  <si>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</si>
  <si>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</si>
  <si>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</si>
  <si>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</si>
  <si>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</si>
  <si>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</si>
  <si>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</si>
  <si>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</si>
  <si>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</si>
  <si>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</si>
  <si>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</si>
  <si>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</si>
  <si>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</si>
  <si>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</si>
  <si>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</si>
  <si>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</si>
  <si>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</si>
  <si>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</si>
  <si>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</si>
  <si>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</si>
  <si>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</si>
  <si>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</si>
  <si>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</si>
  <si>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</si>
  <si>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</si>
  <si>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</si>
  <si>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</si>
  <si>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</si>
  <si>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</si>
  <si>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</si>
  <si>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</si>
  <si>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</si>
  <si>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</si>
  <si>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</si>
  <si>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</si>
  <si>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</si>
  <si>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</si>
  <si>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</si>
  <si>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</si>
  <si>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</si>
  <si>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</si>
  <si>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</si>
  <si>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</si>
  <si>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</si>
  <si>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</si>
  <si>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</si>
  <si>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</si>
  <si>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</si>
  <si>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</si>
  <si>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</si>
  <si>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</si>
  <si>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</si>
  <si>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</si>
  <si>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</si>
  <si>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</si>
  <si>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</si>
  <si>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</si>
  <si>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</si>
  <si>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</si>
  <si>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</si>
  <si>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</si>
  <si>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</si>
  <si>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</si>
  <si>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</si>
  <si>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</si>
  <si>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</si>
  <si>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</si>
  <si>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</si>
  <si>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</si>
  <si>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</si>
  <si>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</si>
  <si>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</si>
  <si>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</si>
  <si>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</si>
  <si>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</si>
  <si>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</si>
  <si>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</si>
  <si>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</si>
  <si>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</si>
  <si>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</si>
  <si>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</si>
  <si>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</si>
  <si>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</si>
  <si>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</si>
  <si>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</si>
  <si>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</si>
  <si>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</si>
  <si>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</si>
  <si>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</si>
  <si>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</si>
  <si>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</si>
  <si>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</si>
  <si>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</si>
  <si>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</si>
  <si>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</si>
  <si>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</si>
  <si>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</si>
  <si>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</si>
  <si>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</si>
  <si>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</si>
  <si>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</si>
  <si>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</si>
  <si>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</si>
  <si>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</si>
  <si>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</si>
  <si>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</si>
  <si>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</si>
  <si>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</si>
  <si>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</si>
  <si>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</si>
  <si>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</si>
  <si>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</si>
  <si>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</si>
  <si>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</si>
  <si>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</si>
  <si>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</si>
  <si>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</si>
  <si>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</si>
  <si>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</si>
  <si>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</si>
  <si>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</si>
  <si>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</si>
  <si>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</si>
  <si>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</si>
  <si>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</si>
  <si>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</si>
  <si>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</si>
  <si>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</si>
  <si>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</si>
  <si>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</si>
  <si>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</si>
  <si>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</si>
  <si>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</si>
  <si>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</si>
  <si>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</si>
  <si>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</si>
  <si>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</si>
  <si>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</si>
  <si>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</si>
  <si>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</si>
  <si>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</si>
  <si>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</si>
  <si>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</si>
  <si>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</si>
  <si>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</si>
  <si>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</si>
  <si>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</si>
  <si>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</si>
  <si>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</si>
  <si>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</si>
  <si>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</si>
  <si>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</si>
  <si>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</si>
  <si>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</si>
  <si>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</si>
  <si>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</si>
  <si>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</si>
  <si>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</si>
  <si>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</si>
  <si>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</si>
  <si>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</si>
  <si>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</si>
  <si>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</si>
  <si>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</si>
  <si>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</si>
  <si>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</si>
  <si>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</si>
  <si>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</si>
  <si>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</si>
  <si>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</si>
  <si>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</si>
  <si>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</si>
  <si>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</si>
  <si>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</si>
  <si>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</si>
  <si>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</si>
  <si>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</si>
  <si>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</si>
  <si>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</si>
  <si>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</si>
  <si>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</si>
  <si>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</si>
  <si>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</si>
  <si>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</si>
  <si>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</si>
  <si>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</si>
  <si>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</si>
  <si>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</si>
  <si>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</si>
  <si>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</si>
  <si>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</si>
  <si>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</si>
  <si>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</si>
  <si>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</si>
  <si>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</si>
  <si>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</si>
  <si>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</si>
  <si>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</si>
  <si>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</si>
  <si>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</si>
  <si>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</si>
  <si>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</si>
  <si>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</si>
  <si>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</si>
  <si>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</si>
  <si>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</si>
  <si>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</si>
  <si>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</si>
  <si>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</si>
  <si>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</si>
  <si>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</si>
  <si>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</si>
  <si>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</si>
  <si>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</si>
  <si>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</si>
  <si>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</si>
  <si>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</si>
  <si>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</si>
  <si>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</si>
  <si>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</si>
  <si>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</si>
  <si>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</si>
  <si>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</si>
  <si>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</si>
  <si>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</si>
  <si>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</si>
  <si>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</si>
  <si>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</si>
  <si>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</si>
  <si>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</si>
  <si>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</si>
  <si>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</si>
  <si>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</si>
  <si>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</si>
  <si>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</si>
  <si>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</si>
  <si>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</si>
  <si>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</si>
  <si>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</si>
  <si>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</si>
  <si>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</si>
  <si>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</si>
  <si>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</si>
  <si>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</si>
  <si>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</si>
  <si>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</si>
  <si>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</si>
  <si>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</si>
  <si>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</si>
  <si>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</si>
  <si>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</si>
  <si>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</si>
  <si>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</si>
  <si>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</si>
  <si>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</si>
  <si>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</si>
  <si>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</si>
  <si>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</si>
  <si>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</si>
  <si>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</si>
  <si>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</si>
  <si>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</si>
  <si>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</si>
  <si>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</si>
  <si>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</si>
  <si>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</si>
  <si>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</si>
  <si>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</si>
  <si>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</si>
  <si>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</si>
  <si>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</si>
  <si>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</si>
  <si>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</si>
  <si>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</si>
  <si>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</si>
  <si>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</si>
  <si>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</si>
  <si>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</si>
  <si>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</si>
  <si>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</si>
  <si>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</si>
  <si>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</si>
  <si>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</si>
  <si>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</si>
  <si>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</si>
  <si>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</si>
  <si>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</si>
  <si>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</si>
  <si>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</si>
  <si>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</si>
  <si>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</si>
  <si>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</si>
  <si>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</si>
  <si>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</si>
  <si>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</si>
  <si>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</si>
  <si>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</si>
  <si>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</si>
  <si>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</si>
  <si>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</si>
  <si>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</si>
  <si>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</si>
  <si>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</si>
  <si>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</si>
  <si>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</si>
  <si>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</si>
  <si>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</si>
  <si>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</si>
  <si>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</si>
  <si>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</si>
  <si>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</si>
  <si>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</si>
  <si>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</si>
  <si>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</si>
  <si>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</si>
  <si>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</si>
  <si>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</si>
  <si>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</si>
  <si>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</si>
  <si>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</si>
  <si>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</si>
  <si>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</si>
  <si>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</si>
  <si>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</si>
  <si>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</si>
  <si>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</si>
  <si>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</si>
  <si>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</si>
  <si>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</si>
  <si>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</si>
  <si>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</si>
  <si>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</si>
  <si>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</si>
  <si>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</si>
  <si>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</si>
  <si>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</si>
  <si>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</si>
  <si>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</si>
  <si>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</si>
  <si>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</si>
  <si>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</si>
  <si>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</si>
  <si>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</si>
  <si>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</si>
  <si>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</si>
  <si>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</si>
  <si>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</si>
  <si>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</si>
  <si>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</si>
  <si>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</si>
  <si>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</si>
  <si>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</si>
  <si>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</si>
  <si>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</si>
  <si>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</si>
  <si>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</si>
  <si>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</si>
  <si>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</si>
  <si>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</si>
  <si>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</si>
  <si>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</si>
  <si>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</si>
  <si>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</si>
  <si>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</si>
  <si>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</si>
  <si>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</si>
  <si>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</si>
  <si>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</si>
  <si>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</si>
  <si>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</si>
  <si>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</si>
  <si>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</si>
  <si>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</si>
  <si>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</si>
  <si>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</si>
  <si>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</si>
  <si>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</si>
  <si>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</si>
  <si>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</si>
  <si>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</si>
  <si>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</si>
  <si>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</si>
  <si>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</si>
  <si>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</si>
  <si>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</si>
  <si>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</si>
  <si>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</si>
  <si>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</si>
  <si>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</si>
  <si>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</si>
  <si>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</si>
  <si>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</si>
  <si>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</si>
  <si>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</si>
  <si>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</si>
  <si>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</si>
  <si>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</si>
  <si>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</si>
  <si>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</si>
  <si>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</si>
  <si>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</si>
  <si>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</si>
  <si>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</si>
  <si>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</si>
  <si>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</si>
  <si>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</si>
  <si>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</si>
  <si>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</si>
  <si>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</si>
  <si>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</si>
  <si>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</si>
  <si>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</si>
  <si>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</si>
  <si>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</si>
  <si>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</si>
  <si>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</si>
  <si>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</si>
  <si>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</si>
  <si>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</si>
  <si>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</si>
  <si>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</si>
  <si>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</si>
  <si>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</si>
  <si>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</si>
  <si>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</si>
  <si>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</si>
  <si>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</si>
  <si>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</si>
  <si>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</si>
  <si>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</si>
  <si>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</si>
  <si>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</si>
  <si>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</si>
  <si>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</si>
  <si>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</si>
  <si>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</si>
  <si>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</si>
  <si>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</si>
  <si>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</si>
  <si>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</si>
  <si>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</si>
  <si>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</si>
  <si>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</si>
  <si>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</si>
  <si>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</si>
  <si>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</si>
  <si>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</si>
  <si>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</si>
  <si>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</si>
  <si>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</si>
  <si>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</si>
  <si>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</si>
  <si>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</si>
  <si>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</si>
  <si>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</si>
  <si>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</si>
  <si>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</si>
  <si>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</si>
  <si>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</si>
  <si>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</si>
  <si>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</si>
  <si>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</si>
  <si>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</si>
  <si>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</si>
  <si>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</si>
  <si>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</si>
  <si>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</si>
  <si>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</si>
  <si>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</si>
  <si>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</si>
  <si>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</si>
  <si>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</si>
  <si>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</si>
  <si>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</si>
  <si>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</si>
  <si>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</si>
  <si>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</si>
  <si>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</si>
  <si>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</si>
  <si>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</si>
  <si>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</si>
  <si>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</si>
  <si>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</si>
  <si>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</si>
  <si>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</si>
  <si>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</si>
  <si>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</si>
  <si>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</si>
  <si>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</si>
  <si>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</si>
  <si>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</si>
  <si>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</si>
  <si>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</si>
  <si>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</si>
  <si>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</si>
  <si>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</si>
  <si>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</si>
  <si>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</si>
  <si>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</si>
  <si>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</si>
  <si>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</si>
  <si>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</si>
  <si>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</si>
  <si>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</si>
  <si>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</si>
  <si>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</si>
  <si>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</si>
  <si>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</si>
  <si>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</si>
  <si>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</si>
  <si>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</si>
  <si>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</si>
  <si>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</si>
  <si>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</si>
  <si>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</si>
  <si>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</si>
  <si>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</si>
  <si>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</si>
  <si>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</si>
  <si>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</si>
  <si>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</si>
  <si>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</si>
  <si>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</si>
  <si>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</si>
  <si>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</si>
  <si>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</si>
  <si>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</si>
  <si>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</si>
  <si>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</si>
  <si>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</si>
  <si>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</si>
  <si>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</si>
  <si>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</si>
  <si>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</si>
  <si>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</si>
  <si>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</si>
  <si>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</si>
  <si>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</si>
  <si>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</si>
  <si>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</si>
  <si>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</si>
  <si>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</si>
  <si>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</si>
  <si>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</si>
  <si>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</si>
  <si>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</si>
  <si>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</si>
  <si>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</si>
  <si>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</si>
  <si>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</si>
  <si>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</si>
  <si>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</si>
  <si>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</si>
  <si>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</si>
  <si>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</si>
  <si>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</si>
  <si>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</si>
  <si>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</si>
  <si>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</si>
  <si>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</si>
  <si>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</si>
  <si>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</si>
  <si>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</si>
  <si>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</si>
  <si>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</si>
  <si>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</si>
  <si>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</si>
  <si>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</si>
  <si>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</si>
  <si>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</si>
  <si>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</si>
  <si>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</si>
  <si>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</si>
  <si>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</si>
  <si>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</si>
  <si>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</si>
  <si>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</si>
  <si>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</si>
  <si>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</si>
  <si>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</si>
  <si>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</si>
  <si>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</si>
  <si>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</si>
  <si>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</si>
  <si>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</si>
  <si>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</si>
  <si>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</si>
  <si>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</si>
  <si>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</si>
  <si>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</si>
  <si>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</si>
  <si>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</si>
  <si>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</si>
  <si>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</si>
  <si>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</si>
  <si>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</si>
  <si>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</si>
  <si>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</si>
  <si>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</si>
  <si>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</si>
  <si>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</si>
  <si>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</si>
  <si>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</si>
  <si>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</si>
  <si>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</si>
  <si>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</si>
  <si>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</si>
  <si>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</si>
  <si>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</si>
  <si>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</si>
  <si>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</si>
  <si>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</si>
  <si>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</si>
  <si>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</si>
  <si>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</si>
  <si>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</si>
  <si>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</si>
  <si>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</si>
  <si>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</si>
  <si>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</si>
  <si>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</si>
  <si>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</si>
  <si>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</si>
  <si>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</si>
  <si>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</si>
  <si>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</si>
  <si>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</si>
  <si>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</si>
  <si>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</si>
  <si>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</si>
  <si>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</si>
  <si>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</si>
  <si>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</si>
  <si>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</si>
  <si>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</si>
  <si>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</si>
  <si>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</si>
  <si>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</si>
  <si>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</si>
  <si>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</si>
  <si>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</si>
  <si>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</si>
  <si>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</si>
  <si>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</si>
  <si>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</si>
  <si>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</si>
  <si>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</si>
  <si>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</si>
  <si>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</si>
  <si>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</si>
  <si>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</si>
  <si>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</si>
  <si>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</si>
  <si>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</si>
  <si>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</si>
  <si>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</si>
  <si>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</si>
  <si>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</si>
  <si>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</si>
  <si>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</si>
  <si>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</si>
  <si>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</si>
  <si>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</si>
  <si>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</si>
  <si>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</si>
  <si>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</si>
  <si>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</si>
  <si>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</si>
  <si>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</si>
  <si>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</si>
  <si>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</si>
  <si>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</si>
  <si>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</si>
  <si>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</si>
  <si>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</si>
  <si>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</si>
  <si>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</si>
  <si>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</si>
  <si>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</si>
  <si>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</si>
  <si>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</si>
  <si>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</si>
  <si>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</si>
  <si>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</si>
  <si>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</si>
  <si>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</si>
  <si>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</si>
  <si>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</si>
  <si>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</si>
  <si>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</si>
  <si>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</si>
  <si>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</si>
  <si>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</si>
  <si>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</si>
  <si>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</si>
  <si>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</si>
  <si>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</si>
  <si>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</si>
  <si>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</si>
  <si>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</si>
  <si>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</si>
  <si>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</si>
  <si>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</si>
  <si>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</si>
  <si>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</si>
  <si>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</si>
  <si>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</si>
  <si>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</si>
  <si>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</si>
  <si>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</si>
  <si>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</si>
  <si>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</si>
  <si>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</si>
  <si>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</si>
  <si>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</si>
  <si>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</si>
  <si>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</si>
  <si>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</si>
  <si>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</si>
  <si>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</si>
  <si>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</si>
  <si>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</si>
  <si>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</si>
  <si>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</si>
  <si>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</si>
  <si>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</si>
  <si>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</si>
  <si>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</si>
  <si>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</si>
  <si>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</si>
  <si>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</si>
  <si>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</si>
  <si>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</si>
  <si>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</si>
  <si>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</si>
  <si>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</si>
  <si>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</si>
  <si>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</si>
  <si>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</si>
  <si>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</si>
  <si>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</si>
  <si>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</si>
  <si>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</si>
  <si>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</si>
  <si>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</si>
  <si>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</si>
  <si>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</si>
  <si>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</si>
  <si>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</si>
  <si>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</si>
  <si>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</si>
  <si>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</si>
  <si>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</si>
  <si>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</si>
  <si>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</si>
  <si>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</si>
  <si>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</si>
  <si>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</si>
  <si>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</si>
  <si>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</si>
  <si>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</si>
  <si>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</si>
  <si>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</si>
  <si>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</si>
  <si>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</si>
  <si>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</si>
  <si>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</si>
  <si>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</si>
  <si>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</si>
  <si>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</si>
  <si>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</si>
  <si>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</si>
  <si>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</si>
  <si>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</si>
  <si>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</si>
  <si>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</si>
  <si>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</si>
  <si>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</si>
  <si>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</si>
  <si>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</si>
  <si>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</si>
  <si>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</si>
  <si>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</si>
  <si>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</si>
  <si>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</si>
  <si>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</si>
  <si>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</si>
  <si>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</si>
  <si>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</si>
  <si>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</si>
  <si>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</si>
  <si>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</si>
  <si>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</si>
  <si>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</si>
  <si>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</si>
  <si>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</si>
  <si>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</si>
  <si>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</si>
  <si>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</si>
  <si>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</si>
  <si>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</si>
  <si>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</si>
  <si>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</si>
  <si>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</si>
  <si>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</si>
  <si>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</si>
  <si>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</si>
  <si>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</si>
  <si>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</si>
  <si>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</si>
  <si>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</si>
  <si>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</si>
  <si>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</si>
  <si>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</si>
  <si>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</si>
  <si>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</si>
  <si>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</si>
  <si>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</si>
  <si>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</si>
  <si>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</si>
  <si>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</si>
  <si>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</si>
  <si>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</si>
  <si>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</si>
  <si>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</si>
  <si>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</si>
  <si>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</si>
  <si>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</si>
  <si>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</si>
  <si>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</si>
  <si>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</si>
  <si>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</si>
  <si>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</si>
  <si>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</si>
  <si>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</si>
  <si>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</si>
  <si>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</si>
  <si>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</si>
  <si>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</si>
  <si>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</si>
  <si>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</si>
  <si>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</si>
  <si>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</si>
  <si>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</si>
  <si>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</si>
  <si>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</si>
  <si>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</si>
  <si>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</si>
  <si>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</si>
  <si>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</si>
  <si>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</si>
  <si>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</si>
  <si>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</si>
  <si>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</si>
  <si>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</si>
  <si>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</si>
  <si>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</si>
  <si>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</si>
  <si>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</si>
  <si>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</si>
  <si>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</si>
  <si>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</si>
  <si>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</si>
  <si>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</si>
  <si>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</si>
  <si>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</si>
  <si>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</si>
  <si>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</si>
  <si>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</si>
  <si>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</si>
  <si>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</si>
  <si>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</si>
  <si>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</si>
  <si>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</si>
  <si>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</si>
  <si>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</si>
  <si>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</si>
  <si>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</si>
  <si>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</si>
  <si>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</si>
  <si>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</si>
  <si>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</si>
  <si>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</si>
  <si>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</si>
  <si>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</si>
  <si>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</si>
  <si>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</si>
  <si>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</si>
  <si>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</si>
  <si>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</si>
  <si>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</si>
  <si>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</si>
  <si>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</si>
  <si>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</si>
  <si>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</si>
  <si>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</si>
  <si>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</si>
  <si>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</si>
  <si>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</si>
  <si>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</si>
  <si>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</si>
  <si>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</si>
  <si>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</si>
  <si>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</si>
  <si>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</si>
  <si>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</si>
  <si>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</si>
  <si>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</si>
  <si>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</si>
  <si>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</si>
  <si>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</si>
  <si>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</si>
  <si>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</si>
  <si>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</si>
  <si>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</si>
  <si>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</si>
  <si>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</si>
  <si>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</si>
  <si>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</si>
  <si>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</si>
  <si>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</si>
  <si>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</si>
  <si>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</si>
  <si>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</si>
  <si>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</si>
  <si>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</si>
  <si>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</si>
  <si>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</si>
  <si>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</si>
  <si>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</si>
  <si>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</si>
  <si>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</si>
  <si>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</si>
  <si>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</si>
  <si>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</si>
  <si>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</si>
  <si>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</si>
  <si>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</si>
  <si>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</si>
  <si>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</si>
  <si>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</si>
  <si>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</si>
  <si>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</si>
  <si>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</si>
  <si>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</si>
  <si>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</si>
  <si>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</si>
  <si>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</si>
  <si>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</si>
  <si>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</si>
  <si>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</si>
  <si>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</si>
  <si>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</si>
  <si>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</si>
  <si>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</si>
  <si>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</si>
  <si>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</si>
  <si>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</si>
  <si>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</si>
  <si>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</si>
  <si>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</si>
  <si>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</si>
  <si>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</si>
  <si>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</si>
  <si>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</si>
  <si>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</si>
  <si>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</si>
  <si>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</si>
  <si>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</si>
  <si>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</si>
  <si>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</si>
  <si>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</si>
  <si>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</si>
  <si>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</si>
  <si>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</si>
  <si>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</si>
  <si>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</si>
  <si>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</si>
  <si>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</si>
  <si>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</si>
  <si>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</si>
  <si>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</si>
  <si>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</si>
  <si>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</si>
  <si>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</si>
  <si>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</si>
  <si>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</si>
  <si>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</si>
  <si>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</si>
  <si>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</si>
  <si>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</si>
  <si>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</si>
  <si>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</si>
  <si>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</si>
  <si>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</si>
  <si>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</si>
  <si>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</si>
  <si>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</si>
  <si>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</si>
  <si>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</si>
  <si>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</si>
  <si>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</si>
  <si>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</si>
  <si>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</si>
  <si>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</si>
  <si>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</si>
  <si>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</si>
  <si>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</si>
  <si>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</si>
  <si>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</si>
  <si>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</si>
  <si>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</si>
  <si>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</si>
  <si>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</si>
  <si>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</si>
  <si>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</si>
  <si>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</si>
  <si>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</si>
  <si>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</si>
  <si>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</si>
  <si>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</si>
  <si>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</si>
  <si>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</si>
  <si>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</si>
  <si>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</si>
  <si>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</si>
  <si>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</si>
  <si>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</si>
  <si>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</si>
  <si>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</si>
  <si>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</si>
  <si>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</si>
  <si>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</si>
  <si>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</si>
  <si>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</si>
  <si>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</si>
  <si>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</si>
  <si>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</si>
  <si>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</si>
  <si>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</si>
  <si>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</si>
  <si>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</si>
  <si>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</si>
  <si>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</si>
  <si>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</si>
  <si>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</si>
  <si>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</si>
  <si>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</si>
  <si>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</si>
  <si>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</si>
  <si>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</si>
  <si>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</si>
  <si>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</si>
  <si>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</si>
  <si>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</si>
  <si>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</si>
  <si>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</si>
  <si>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</si>
  <si>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</si>
  <si>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</si>
  <si>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</si>
  <si>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</si>
  <si>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</si>
  <si>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</si>
  <si>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</si>
  <si>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</si>
  <si>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</si>
  <si>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</si>
  <si>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</si>
  <si>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</si>
  <si>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</si>
  <si>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</si>
  <si>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</si>
  <si>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</si>
  <si>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</si>
  <si>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</si>
  <si>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</si>
  <si>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</si>
  <si>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</si>
  <si>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</si>
  <si>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</si>
  <si>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</si>
  <si>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</si>
  <si>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</si>
  <si>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</si>
  <si>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</si>
  <si>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</si>
  <si>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</si>
  <si>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</si>
  <si>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</si>
  <si>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</si>
  <si>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</si>
  <si>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</si>
  <si>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</si>
  <si>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</si>
  <si>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</si>
  <si>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</si>
  <si>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</si>
  <si>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</si>
  <si>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</si>
  <si>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</si>
  <si>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</si>
  <si>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</si>
  <si>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</si>
  <si>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</si>
  <si>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</si>
  <si>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</si>
  <si>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</si>
  <si>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</si>
  <si>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</si>
  <si>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</si>
  <si>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</si>
  <si>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</si>
  <si>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</si>
  <si>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</si>
  <si>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</si>
  <si>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</si>
  <si>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</si>
  <si>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</si>
  <si>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</si>
  <si>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</si>
  <si>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</si>
  <si>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</si>
  <si>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</si>
  <si>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</si>
  <si>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</si>
  <si>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</si>
  <si>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</si>
  <si>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</si>
  <si>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</si>
  <si>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</si>
  <si>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</si>
  <si>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</si>
  <si>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</si>
  <si>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</si>
  <si>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</si>
  <si>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</si>
  <si>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</si>
  <si>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</si>
  <si>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</si>
  <si>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</si>
  <si>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</si>
  <si>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</si>
  <si>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</si>
  <si>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</si>
  <si>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</si>
  <si>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</si>
  <si>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</si>
  <si>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</si>
  <si>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</si>
  <si>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</si>
  <si>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</si>
  <si>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</si>
  <si>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</si>
  <si>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</si>
  <si>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</si>
  <si>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</si>
  <si>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</si>
  <si>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</si>
  <si>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</si>
  <si>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</si>
  <si>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</si>
  <si>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</si>
  <si>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</si>
  <si>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</si>
  <si>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</si>
  <si>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</si>
  <si>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</si>
  <si>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</si>
  <si>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</si>
  <si>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</si>
  <si>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</si>
  <si>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</si>
  <si>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</si>
  <si>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</si>
  <si>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</si>
  <si>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</si>
  <si>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</si>
  <si>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</si>
  <si>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</si>
  <si>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</si>
  <si>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</si>
  <si>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</si>
  <si>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</si>
  <si>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</si>
  <si>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</si>
  <si>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</si>
  <si>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</si>
  <si>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</si>
  <si>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</si>
  <si>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</si>
  <si>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</si>
  <si>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</si>
  <si>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</si>
  <si>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</si>
  <si>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</si>
  <si>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</si>
  <si>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</si>
  <si>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</si>
  <si>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</si>
  <si>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</si>
  <si>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</si>
  <si>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</si>
  <si>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</si>
  <si>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</si>
  <si>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</si>
  <si>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</si>
  <si>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</si>
  <si>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</si>
  <si>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</si>
  <si>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</si>
  <si>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</si>
  <si>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</si>
  <si>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</si>
  <si>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</si>
  <si>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</si>
  <si>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</si>
  <si>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</si>
  <si>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</si>
  <si>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</si>
  <si>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</si>
  <si>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</si>
  <si>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</si>
  <si>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</si>
  <si>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</si>
  <si>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</si>
  <si>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</si>
  <si>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</si>
  <si>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</si>
  <si>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</si>
  <si>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</si>
  <si>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</si>
  <si>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</si>
  <si>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</si>
  <si>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</si>
  <si>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</si>
  <si>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</si>
  <si>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</si>
  <si>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</si>
  <si>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</si>
  <si>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</si>
  <si>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</si>
  <si>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</si>
  <si>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</si>
  <si>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</si>
  <si>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</si>
  <si>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</si>
  <si>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</si>
  <si>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</si>
  <si>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</si>
  <si>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</si>
  <si>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</si>
  <si>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</si>
  <si>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</si>
  <si>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</si>
  <si>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</si>
  <si>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</si>
  <si>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</si>
  <si>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</si>
  <si>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</si>
  <si>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</si>
  <si>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</si>
  <si>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</si>
  <si>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</si>
  <si>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</si>
  <si>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</si>
  <si>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</si>
  <si>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</si>
  <si>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</si>
  <si>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</si>
  <si>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</si>
  <si>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</si>
  <si>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</si>
  <si>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</si>
  <si>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</si>
  <si>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</si>
  <si>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</si>
  <si>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</si>
  <si>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</si>
  <si>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</si>
  <si>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</si>
  <si>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</si>
  <si>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</si>
  <si>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</si>
  <si>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</si>
  <si>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</si>
  <si>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</si>
  <si>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</si>
  <si>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</si>
  <si>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</si>
  <si>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</si>
  <si>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</si>
  <si>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</si>
  <si>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</si>
  <si>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</si>
  <si>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</si>
  <si>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</si>
  <si>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</si>
  <si>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</si>
  <si>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</si>
  <si>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</si>
  <si>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</si>
  <si>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</si>
  <si>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</si>
  <si>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</si>
  <si>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</si>
  <si>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</si>
  <si>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</si>
  <si>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</si>
  <si>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</si>
  <si>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</si>
  <si>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</si>
  <si>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</si>
  <si>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</si>
  <si>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</si>
  <si>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</si>
  <si>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</si>
  <si>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</si>
  <si>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</si>
  <si>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</si>
  <si>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</si>
  <si>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</si>
  <si>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</si>
  <si>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</si>
  <si>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</si>
  <si>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</si>
  <si>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</si>
  <si>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</si>
  <si>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</si>
  <si>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</si>
  <si>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</si>
  <si>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</si>
  <si>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</si>
  <si>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</si>
  <si>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</si>
  <si>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</si>
  <si>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</si>
  <si>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</si>
  <si>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</si>
  <si>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</si>
  <si>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</si>
  <si>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</si>
  <si>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</si>
  <si>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</si>
  <si>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</si>
  <si>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</si>
  <si>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</si>
  <si>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</si>
  <si>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</si>
  <si>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</si>
  <si>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</si>
  <si>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</si>
  <si>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</si>
  <si>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</si>
  <si>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</si>
  <si>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</si>
  <si>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</si>
  <si>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</si>
  <si>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</si>
  <si>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</si>
  <si>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</si>
  <si>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</si>
  <si>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</si>
  <si>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</si>
  <si>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</si>
  <si>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</si>
  <si>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</si>
  <si>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</si>
  <si>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</si>
  <si>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</si>
  <si>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</si>
  <si>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</si>
  <si>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</si>
  <si>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</si>
  <si>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</si>
  <si>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</si>
  <si>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</si>
  <si>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</si>
  <si>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</si>
  <si>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</si>
  <si>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</si>
  <si>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</si>
  <si>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</si>
  <si>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</si>
  <si>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</si>
  <si>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</si>
  <si>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</si>
  <si>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</si>
  <si>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</si>
  <si>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</si>
  <si>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</si>
  <si>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</si>
  <si>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</si>
  <si>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</si>
  <si>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</si>
  <si>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</si>
  <si>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</si>
  <si>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</si>
  <si>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</si>
  <si>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</si>
  <si>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</si>
  <si>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</si>
  <si>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</si>
  <si>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</si>
  <si>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</si>
  <si>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</si>
  <si>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</si>
  <si>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</si>
  <si>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</si>
  <si>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</si>
  <si>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</si>
  <si>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</si>
  <si>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</si>
  <si>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</si>
  <si>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</si>
  <si>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</si>
  <si>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</si>
  <si>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</si>
  <si>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</si>
  <si>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</si>
  <si>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</si>
  <si>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</si>
  <si>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</si>
  <si>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</si>
  <si>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</si>
  <si>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</si>
  <si>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</si>
  <si>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</si>
  <si>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</si>
  <si>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</si>
  <si>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</si>
  <si>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</si>
  <si>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</si>
  <si>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</si>
  <si>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</si>
  <si>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</si>
  <si>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</si>
  <si>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</si>
  <si>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</si>
  <si>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</si>
  <si>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</si>
  <si>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</si>
  <si>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</si>
  <si>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</si>
  <si>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</si>
  <si>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</si>
  <si>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</si>
  <si>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</si>
  <si>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</si>
  <si>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</si>
  <si>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</si>
  <si>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</si>
  <si>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</si>
  <si>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</si>
  <si>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</si>
  <si>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</si>
  <si>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</si>
  <si>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</si>
  <si>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</si>
  <si>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</si>
  <si>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</si>
  <si>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</si>
  <si>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</si>
  <si>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</si>
  <si>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</si>
  <si>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</si>
  <si>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</si>
  <si>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</si>
  <si>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</si>
  <si>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</si>
  <si>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</si>
  <si>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</si>
  <si>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</si>
  <si>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</si>
  <si>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</si>
  <si>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</si>
  <si>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</si>
  <si>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</si>
  <si>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</si>
  <si>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</si>
  <si>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</si>
  <si>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</si>
  <si>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</si>
  <si>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</si>
  <si>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</si>
  <si>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</si>
  <si>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</si>
  <si>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</si>
  <si>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</si>
  <si>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</si>
  <si>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</si>
  <si>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</si>
  <si>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</si>
  <si>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</si>
  <si>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</si>
  <si>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</si>
  <si>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</si>
  <si>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</si>
  <si>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</si>
  <si>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</si>
  <si>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</si>
  <si>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</si>
  <si>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</si>
  <si>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</si>
  <si>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</si>
  <si>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</si>
  <si>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</si>
  <si>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</si>
  <si>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</si>
  <si>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</si>
  <si>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</si>
  <si>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</si>
  <si>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</si>
  <si>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</si>
  <si>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</si>
  <si>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</si>
  <si>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</si>
  <si>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</si>
  <si>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</si>
  <si>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</si>
  <si>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</si>
  <si>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</si>
  <si>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</si>
  <si>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</si>
  <si>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</si>
  <si>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</si>
  <si>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</si>
  <si>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</si>
  <si>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</si>
  <si>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</si>
  <si>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</si>
  <si>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</si>
  <si>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</si>
  <si>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</si>
  <si>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</si>
  <si>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</si>
  <si>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</si>
  <si>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</si>
  <si>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</si>
  <si>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</si>
  <si>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</si>
  <si>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</si>
  <si>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</si>
  <si>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</si>
  <si>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</si>
  <si>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</si>
  <si>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</si>
  <si>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</si>
  <si>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</si>
  <si>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</si>
  <si>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</si>
  <si>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</si>
  <si>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</si>
  <si>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</si>
  <si>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</si>
  <si>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</si>
  <si>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</si>
  <si>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</si>
  <si>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</si>
  <si>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</si>
  <si>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</si>
  <si>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</si>
  <si>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</si>
  <si>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</si>
  <si>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</si>
  <si>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</si>
  <si>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</si>
  <si>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</si>
  <si>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</si>
  <si>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</si>
  <si>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</si>
  <si>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</si>
  <si>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</si>
  <si>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</si>
  <si>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</si>
  <si>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</si>
  <si>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</si>
  <si>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</si>
  <si>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</si>
  <si>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</si>
  <si>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</si>
  <si>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</si>
  <si>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</si>
  <si>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</si>
  <si>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</si>
  <si>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</si>
  <si>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</si>
  <si>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</si>
  <si>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</si>
  <si>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</si>
  <si>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</si>
  <si>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</si>
  <si>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</si>
  <si>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</si>
  <si>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</si>
  <si>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</si>
  <si>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</si>
  <si>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</si>
  <si>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</si>
  <si>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</si>
  <si>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</si>
  <si>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</si>
  <si>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</si>
  <si>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</si>
  <si>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</si>
  <si>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</si>
  <si>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</si>
  <si>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</si>
  <si>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</si>
  <si>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</si>
  <si>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</si>
  <si>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</si>
  <si>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</si>
  <si>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</si>
  <si>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</si>
  <si>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</si>
  <si>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</si>
  <si>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</si>
  <si>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</si>
  <si>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</si>
  <si>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</si>
  <si>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</si>
  <si>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</si>
  <si>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</si>
  <si>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</si>
  <si>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</si>
  <si>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</si>
  <si>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</si>
  <si>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</si>
  <si>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</si>
  <si>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</si>
  <si>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</si>
  <si>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</si>
  <si>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</si>
  <si>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</si>
  <si>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</si>
  <si>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</si>
  <si>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</si>
  <si>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</si>
  <si>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</si>
  <si>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</si>
  <si>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</si>
  <si>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</si>
  <si>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</si>
  <si>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</si>
  <si>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</si>
  <si>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</si>
  <si>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</si>
  <si>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</si>
  <si>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</si>
  <si>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</si>
  <si>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</si>
  <si>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</si>
  <si>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</si>
  <si>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</si>
  <si>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</si>
  <si>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</si>
  <si>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</si>
  <si>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</si>
  <si>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</si>
  <si>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</si>
  <si>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</si>
  <si>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</si>
  <si>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</si>
  <si>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</si>
  <si>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</si>
  <si>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</si>
  <si>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</si>
  <si>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</si>
  <si>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</si>
  <si>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</si>
  <si>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</si>
  <si>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</si>
  <si>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</si>
  <si>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</si>
  <si>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</si>
  <si>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</si>
  <si>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</si>
  <si>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</si>
  <si>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</si>
  <si>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</si>
  <si>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</si>
  <si>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</si>
  <si>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</si>
  <si>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</si>
  <si>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</si>
  <si>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</si>
  <si>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</si>
  <si>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</si>
  <si>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</si>
  <si>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</si>
  <si>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</si>
  <si>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</si>
  <si>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</si>
  <si>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</si>
  <si>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</si>
  <si>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</si>
  <si>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</si>
  <si>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</si>
  <si>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</si>
  <si>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</si>
  <si>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</si>
  <si>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</si>
  <si>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</si>
  <si>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</si>
  <si>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</si>
  <si>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</si>
  <si>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</si>
  <si>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</si>
  <si>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</si>
  <si>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</si>
  <si>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</si>
  <si>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</si>
  <si>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</si>
  <si>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</si>
  <si>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</si>
  <si>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</si>
  <si>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</si>
  <si>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</si>
  <si>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</si>
  <si>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</si>
  <si>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</si>
  <si>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</si>
  <si>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</si>
  <si>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</si>
  <si>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</si>
  <si>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</si>
  <si>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</si>
  <si>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</si>
  <si>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</si>
  <si>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</si>
  <si>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</si>
  <si>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</si>
  <si>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</si>
  <si>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</si>
  <si>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</si>
  <si>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</si>
  <si>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</si>
  <si>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</si>
  <si>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</si>
  <si>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</si>
  <si>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</si>
  <si>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</si>
  <si>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</si>
  <si>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</si>
  <si>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</si>
  <si>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</si>
  <si>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</si>
  <si>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</si>
  <si>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</si>
  <si>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</si>
  <si>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</si>
  <si>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</si>
  <si>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</si>
  <si>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</si>
  <si>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</si>
  <si>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</si>
  <si>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</si>
  <si>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</si>
  <si>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</si>
  <si>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</si>
  <si>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</si>
  <si>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</si>
  <si>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</si>
  <si>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</si>
  <si>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</si>
  <si>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</si>
  <si>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</si>
  <si>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</si>
  <si>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</si>
  <si>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</si>
  <si>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</si>
  <si>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</si>
  <si>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</si>
  <si>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</si>
  <si>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</si>
  <si>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</si>
  <si>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</si>
  <si>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</si>
  <si>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</si>
  <si>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</si>
  <si>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</si>
  <si>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</si>
  <si>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</si>
  <si>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</si>
  <si>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</si>
  <si>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</si>
  <si>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</si>
  <si>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</si>
  <si>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</si>
  <si>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</si>
  <si>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</si>
  <si>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</si>
  <si>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</si>
  <si>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</si>
  <si>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</si>
  <si>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</si>
  <si>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</si>
  <si>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</si>
  <si>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</si>
  <si>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</si>
  <si>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</si>
  <si>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</si>
  <si>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</si>
  <si>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</si>
  <si>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</si>
  <si>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</si>
  <si>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</si>
  <si>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</si>
  <si>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</si>
  <si>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</si>
  <si>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</si>
  <si>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</si>
  <si>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</si>
  <si>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</si>
  <si>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</si>
  <si>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</si>
  <si>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</si>
  <si>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</si>
  <si>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</si>
  <si>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</si>
  <si>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</si>
  <si>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</si>
  <si>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</si>
  <si>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</si>
  <si>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</si>
  <si>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</si>
  <si>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</si>
  <si>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</si>
  <si>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</si>
  <si>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</si>
  <si>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</si>
  <si>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</si>
  <si>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</si>
  <si>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</si>
  <si>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</si>
  <si>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</si>
  <si>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</si>
  <si>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</si>
  <si>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</si>
  <si>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</si>
  <si>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</si>
  <si>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</si>
  <si>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</si>
  <si>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</si>
  <si>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</si>
  <si>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</si>
  <si>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</si>
  <si>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</si>
  <si>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</si>
  <si>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</si>
  <si>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</si>
  <si>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</si>
  <si>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</si>
  <si>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</si>
  <si>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</si>
  <si>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</si>
  <si>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</si>
  <si>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</si>
  <si>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</si>
  <si>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</si>
  <si>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</si>
  <si>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</si>
  <si>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</si>
  <si>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</si>
  <si>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</si>
  <si>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</si>
  <si>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</si>
  <si>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</si>
  <si>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</si>
  <si>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</si>
  <si>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</si>
  <si>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</si>
  <si>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</si>
  <si>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</si>
  <si>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</si>
  <si>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</si>
  <si>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</si>
  <si>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</si>
  <si>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</si>
  <si>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</si>
  <si>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</si>
  <si>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</si>
  <si>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</si>
  <si>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</si>
  <si>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</si>
  <si>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</si>
  <si>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</si>
  <si>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</si>
  <si>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</si>
  <si>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</si>
  <si>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</si>
  <si>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</si>
  <si>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</si>
  <si>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</si>
  <si>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</si>
  <si>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</si>
  <si>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</si>
  <si>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</si>
  <si>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</si>
  <si>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</si>
  <si>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</si>
  <si>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</si>
  <si>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</si>
  <si>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</si>
  <si>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</si>
  <si>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</si>
  <si>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</si>
  <si>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</si>
  <si>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</si>
  <si>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</si>
  <si>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</si>
  <si>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</si>
  <si>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</si>
  <si>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</si>
  <si>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</si>
  <si>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</si>
  <si>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</si>
  <si>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</si>
  <si>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</si>
  <si>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</si>
  <si>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</si>
  <si>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</si>
  <si>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</si>
  <si>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</si>
  <si>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</si>
  <si>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</si>
  <si>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</si>
  <si>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</si>
  <si>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</si>
  <si>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</si>
  <si>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</si>
  <si>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</si>
  <si>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</si>
  <si>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</si>
  <si>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</si>
  <si>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</si>
  <si>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</si>
  <si>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</si>
  <si>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</si>
  <si>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</si>
  <si>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</si>
  <si>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</si>
  <si>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</si>
  <si>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</si>
  <si>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</si>
  <si>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</si>
  <si>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</si>
  <si>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</si>
  <si>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</si>
  <si>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</si>
  <si>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</si>
  <si>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</si>
  <si>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</si>
  <si>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</si>
  <si>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</si>
  <si>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</si>
  <si>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</si>
  <si>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</si>
  <si>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</si>
  <si>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</si>
  <si>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</si>
  <si>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</si>
  <si>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</si>
  <si>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</si>
  <si>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</si>
  <si>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</si>
  <si>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</si>
  <si>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</si>
  <si>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</si>
  <si>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</si>
  <si>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</si>
  <si>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</si>
  <si>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</si>
  <si>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</si>
  <si>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</si>
  <si>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</si>
  <si>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</si>
  <si>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</si>
  <si>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</si>
  <si>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</si>
  <si>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</si>
  <si>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</si>
  <si>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</si>
  <si>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</si>
  <si>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</si>
  <si>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</si>
  <si>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</si>
  <si>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</si>
  <si>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</si>
  <si>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</si>
  <si>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</si>
  <si>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</si>
  <si>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</si>
  <si>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</si>
  <si>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</si>
  <si>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</si>
  <si>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</si>
  <si>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</si>
  <si>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</si>
  <si>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</si>
  <si>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</si>
  <si>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</si>
  <si>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</si>
  <si>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</si>
  <si>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</si>
  <si>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</si>
  <si>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</si>
  <si>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</si>
  <si>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</si>
  <si>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</si>
  <si>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</si>
  <si>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</si>
  <si>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</si>
  <si>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</si>
  <si>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</si>
  <si>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</si>
  <si>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</si>
  <si>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</si>
  <si>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</si>
  <si>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</si>
  <si>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</si>
  <si>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</si>
  <si>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</si>
  <si>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</si>
  <si>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</si>
  <si>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</si>
  <si>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</si>
  <si>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</si>
  <si>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</si>
  <si>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</si>
  <si>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</si>
  <si>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</si>
  <si>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</si>
  <si>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</si>
  <si>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</si>
  <si>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</si>
  <si>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</si>
  <si>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</si>
  <si>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</si>
  <si>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</si>
  <si>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</si>
  <si>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</si>
  <si>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</si>
  <si>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</si>
  <si>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</si>
  <si>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</si>
  <si>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</si>
  <si>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</si>
  <si>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</si>
  <si>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</si>
  <si>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</si>
  <si>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</si>
  <si>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</si>
  <si>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</si>
  <si>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</si>
  <si>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</si>
  <si>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</si>
  <si>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</si>
  <si>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</si>
  <si>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</si>
  <si>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</si>
  <si>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</si>
  <si>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</si>
  <si>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</si>
  <si>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</si>
  <si>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</si>
  <si>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</si>
  <si>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</si>
  <si>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</si>
  <si>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</si>
  <si>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</si>
  <si>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</si>
  <si>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</si>
  <si>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</si>
  <si>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</si>
  <si>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</si>
  <si>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</si>
  <si>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</si>
  <si>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</si>
  <si>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</si>
  <si>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</si>
  <si>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</si>
  <si>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</si>
  <si>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</si>
  <si>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</si>
  <si>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</si>
  <si>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</si>
  <si>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</si>
  <si>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</si>
  <si>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</si>
  <si>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</si>
  <si>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</si>
  <si>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</si>
  <si>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</si>
  <si>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</si>
  <si>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</si>
  <si>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</si>
  <si>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</si>
  <si>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</si>
  <si>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</si>
  <si>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</si>
  <si>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</si>
  <si>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</si>
  <si>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</si>
  <si>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</si>
  <si>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</si>
  <si>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</si>
  <si>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</si>
  <si>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</si>
  <si>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</si>
  <si>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</si>
  <si>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</si>
  <si>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</si>
  <si>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</si>
  <si>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</si>
  <si>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</si>
  <si>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</si>
  <si>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</si>
  <si>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</si>
  <si>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</si>
  <si>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</si>
  <si>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</si>
  <si>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</si>
  <si>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</si>
  <si>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</si>
  <si>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</si>
  <si>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</si>
  <si>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</si>
  <si>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</si>
  <si>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</si>
  <si>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</si>
  <si>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</si>
  <si>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</si>
  <si>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</si>
  <si>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</si>
  <si>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</si>
  <si>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</si>
  <si>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</si>
  <si>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</si>
  <si>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</si>
  <si>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</si>
  <si>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</si>
  <si>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</si>
  <si>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</si>
  <si>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</si>
  <si>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</si>
  <si>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</si>
  <si>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</si>
  <si>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</si>
  <si>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</si>
  <si>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</si>
  <si>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</si>
  <si>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</si>
  <si>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</si>
  <si>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</si>
  <si>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</si>
  <si>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</si>
  <si>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</si>
  <si>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</si>
  <si>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</si>
  <si>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</si>
  <si>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</si>
  <si>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</si>
  <si>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</si>
  <si>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</si>
  <si>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</si>
  <si>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</si>
  <si>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</si>
  <si>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</si>
  <si>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</si>
  <si>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</si>
  <si>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</si>
  <si>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</si>
  <si>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</si>
  <si>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</si>
  <si>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</si>
  <si>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</si>
  <si>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</si>
  <si>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</si>
  <si>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</si>
  <si>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</si>
  <si>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</si>
  <si>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</si>
  <si>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</si>
  <si>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</si>
  <si>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</si>
  <si>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</si>
  <si>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</si>
  <si>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</si>
  <si>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</si>
  <si>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</si>
  <si>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</si>
  <si>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</si>
  <si>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</si>
  <si>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</si>
  <si>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</si>
  <si>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</si>
  <si>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</si>
  <si>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</si>
  <si>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</si>
  <si>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</si>
  <si>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</si>
  <si>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</si>
  <si>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</si>
  <si>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</si>
  <si>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</si>
  <si>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</si>
  <si>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</si>
  <si>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</si>
  <si>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</si>
  <si>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</si>
  <si>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</si>
  <si>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</si>
  <si>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</si>
  <si>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</si>
  <si>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</si>
  <si>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</si>
  <si>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</si>
  <si>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</si>
  <si>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</si>
  <si>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</si>
  <si>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</si>
  <si>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</si>
  <si>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</si>
  <si>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</si>
  <si>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</si>
  <si>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</si>
  <si>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</si>
  <si>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</si>
  <si>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</si>
  <si>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</si>
  <si>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</si>
  <si>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</si>
  <si>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</si>
  <si>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</si>
  <si>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</si>
  <si>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</si>
  <si>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</si>
  <si>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</si>
  <si>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</si>
  <si>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</si>
  <si>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</si>
  <si>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</si>
  <si>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</si>
  <si>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</si>
  <si>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</si>
  <si>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</si>
  <si>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</si>
  <si>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</si>
  <si>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</si>
  <si>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</si>
  <si>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</si>
  <si>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</si>
  <si>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</si>
  <si>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</si>
  <si>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</si>
  <si>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</si>
  <si>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</si>
  <si>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</si>
  <si>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</si>
  <si>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</si>
  <si>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</si>
  <si>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</si>
  <si>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</si>
  <si>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</si>
  <si>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</si>
  <si>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</si>
  <si>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</si>
  <si>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</si>
  <si>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</si>
  <si>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</si>
  <si>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</si>
  <si>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</si>
  <si>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</si>
  <si>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</si>
  <si>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</si>
  <si>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</si>
  <si>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</si>
  <si>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</si>
  <si>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</si>
  <si>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</si>
  <si>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</si>
  <si>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</si>
  <si>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</si>
  <si>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</si>
  <si>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</si>
  <si>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</si>
  <si>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</si>
  <si>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</si>
  <si>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</si>
  <si>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</si>
  <si>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</si>
  <si>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</si>
  <si>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</si>
  <si>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</si>
  <si>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</si>
  <si>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</si>
  <si>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</si>
  <si>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</si>
  <si>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</si>
  <si>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</si>
  <si>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</si>
  <si>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</si>
  <si>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</si>
  <si>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</si>
  <si>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</si>
  <si>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</si>
  <si>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</si>
  <si>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</si>
  <si>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</si>
  <si>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</si>
  <si>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</si>
  <si>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</si>
  <si>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</si>
  <si>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</si>
  <si>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</si>
  <si>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</si>
  <si>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</si>
  <si>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</si>
  <si>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</si>
  <si>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</si>
  <si>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</si>
  <si>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</si>
  <si>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</si>
  <si>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</si>
  <si>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</si>
  <si>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</si>
  <si>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</si>
  <si>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</si>
  <si>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</si>
  <si>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</si>
  <si>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</si>
  <si>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</si>
  <si>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</si>
  <si>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</si>
  <si>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</si>
  <si>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</si>
  <si>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</si>
  <si>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</si>
  <si>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</si>
  <si>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</si>
  <si>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</si>
  <si>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</si>
  <si>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</si>
  <si>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</si>
  <si>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</si>
  <si>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</si>
  <si>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</si>
  <si>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</si>
  <si>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</si>
  <si>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</si>
  <si>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</si>
  <si>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</si>
  <si>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</si>
  <si>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</si>
  <si>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</si>
  <si>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</si>
  <si>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</si>
  <si>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</si>
  <si>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</si>
  <si>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</si>
  <si>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</si>
  <si>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</si>
  <si>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</si>
  <si>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</si>
  <si>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</si>
  <si>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</si>
  <si>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</si>
  <si>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</si>
  <si>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</si>
  <si>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</si>
  <si>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</si>
  <si>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</si>
  <si>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</si>
  <si>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</si>
  <si>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</si>
  <si>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</si>
  <si>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</si>
  <si>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</si>
  <si>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</si>
  <si>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</si>
  <si>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</si>
  <si>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</si>
  <si>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</si>
  <si>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</si>
  <si>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</si>
  <si>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</si>
  <si>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</si>
  <si>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</si>
  <si>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</si>
  <si>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</si>
  <si>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</si>
  <si>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</si>
  <si>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</si>
  <si>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</si>
  <si>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</si>
  <si>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</si>
  <si>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</si>
  <si>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</si>
  <si>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</si>
  <si>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</si>
  <si>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</si>
  <si>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</si>
  <si>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</si>
  <si>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</si>
  <si>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</si>
  <si>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</si>
  <si>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</si>
  <si>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</si>
  <si>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</si>
  <si>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</si>
  <si>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</si>
  <si>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</si>
  <si>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</si>
  <si>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</si>
  <si>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</si>
  <si>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</si>
  <si>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</si>
  <si>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</si>
  <si>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</si>
  <si>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</si>
  <si>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</si>
  <si>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</si>
  <si>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</si>
  <si>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</si>
  <si>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</si>
  <si>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</si>
  <si>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</si>
  <si>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</si>
  <si>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</si>
  <si>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</si>
  <si>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</si>
  <si>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</si>
  <si>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</si>
  <si>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</si>
  <si>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</si>
  <si>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</si>
  <si>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</si>
  <si>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</si>
  <si>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</si>
  <si>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</si>
  <si>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</si>
  <si>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</si>
  <si>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</si>
  <si>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</si>
  <si>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</si>
  <si>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</si>
  <si>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</si>
  <si>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</si>
  <si>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</si>
  <si>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</si>
  <si>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</si>
  <si>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</si>
  <si>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</si>
  <si>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</si>
  <si>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</si>
  <si>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</si>
  <si>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</si>
  <si>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</si>
  <si>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</si>
  <si>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</si>
  <si>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</si>
  <si>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</si>
  <si>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</si>
  <si>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</si>
  <si>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</si>
  <si>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</si>
  <si>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</si>
  <si>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</si>
  <si>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</si>
  <si>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</si>
  <si>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</si>
  <si>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</si>
  <si>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</si>
  <si>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</si>
  <si>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</si>
  <si>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</si>
  <si>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</si>
  <si>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</si>
  <si>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</si>
  <si>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</si>
  <si>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</si>
  <si>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</si>
  <si>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</si>
  <si>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</si>
  <si>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</si>
  <si>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</si>
  <si>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</si>
  <si>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</si>
  <si>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</si>
  <si>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</si>
  <si>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</si>
  <si>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</si>
  <si>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</si>
  <si>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</si>
  <si>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</si>
  <si>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</si>
  <si>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</si>
  <si>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</si>
  <si>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</si>
  <si>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</si>
  <si>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</si>
  <si>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</si>
  <si>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</si>
  <si>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</si>
  <si>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</si>
  <si>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</si>
  <si>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</si>
  <si>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</si>
  <si>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</si>
  <si>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</si>
  <si>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</si>
  <si>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</si>
  <si>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</si>
  <si>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</si>
  <si>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</si>
  <si>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</si>
  <si>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</si>
  <si>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</si>
  <si>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</si>
  <si>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</si>
  <si>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</si>
  <si>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</si>
  <si>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</si>
  <si>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</si>
  <si>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</si>
  <si>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</si>
  <si>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</si>
  <si>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</si>
  <si>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</si>
  <si>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</si>
  <si>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</si>
  <si>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</si>
  <si>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</si>
  <si>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</si>
  <si>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</si>
  <si>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</si>
  <si>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</si>
  <si>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</si>
  <si>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</si>
  <si>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</si>
  <si>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</si>
  <si>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</si>
  <si>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</si>
  <si>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</si>
  <si>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</si>
  <si>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</si>
  <si>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</si>
  <si>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</si>
  <si>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</si>
  <si>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</si>
  <si>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</si>
  <si>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</si>
  <si>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</si>
  <si>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</si>
  <si>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</si>
  <si>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</si>
  <si>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</si>
  <si>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</si>
  <si>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</si>
  <si>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</si>
  <si>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</si>
  <si>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</si>
  <si>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</si>
  <si>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</si>
  <si>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</si>
  <si>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</si>
  <si>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</si>
  <si>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</si>
  <si>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</si>
  <si>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</si>
  <si>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</si>
  <si>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</si>
  <si>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</si>
  <si>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</si>
  <si>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</si>
  <si>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</si>
  <si>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</si>
  <si>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</si>
  <si>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</si>
  <si>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</si>
  <si>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</si>
  <si>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</si>
  <si>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</si>
  <si>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</si>
  <si>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</si>
  <si>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</si>
  <si>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</si>
  <si>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</si>
  <si>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</si>
  <si>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</si>
  <si>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</si>
  <si>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</si>
  <si>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</si>
  <si>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</si>
  <si>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</si>
  <si>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</si>
  <si>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</si>
  <si>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</si>
  <si>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</si>
  <si>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</si>
  <si>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</si>
  <si>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</si>
  <si>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</si>
  <si>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</si>
  <si>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</si>
  <si>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</si>
  <si>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</si>
  <si>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</si>
  <si>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</si>
  <si>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</si>
  <si>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</si>
  <si>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</si>
  <si>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</si>
  <si>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</si>
  <si>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</si>
  <si>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</si>
  <si>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</si>
  <si>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</si>
  <si>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</si>
  <si>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</si>
  <si>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</si>
  <si>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</si>
  <si>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</si>
  <si>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</si>
  <si>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</si>
  <si>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</si>
  <si>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</si>
  <si>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</si>
  <si>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</si>
  <si>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</si>
  <si>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</si>
  <si>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</si>
  <si>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</si>
  <si>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</si>
  <si>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</si>
  <si>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</si>
  <si>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</si>
  <si>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</si>
  <si>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</si>
  <si>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</si>
  <si>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</si>
  <si>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</si>
  <si>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</si>
  <si>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</si>
  <si>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</si>
  <si>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</si>
  <si>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</si>
  <si>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</si>
  <si>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</si>
  <si>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</si>
  <si>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</si>
  <si>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</si>
  <si>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</si>
  <si>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</si>
  <si>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</si>
  <si>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</si>
  <si>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</si>
  <si>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</si>
  <si>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</si>
  <si>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</si>
  <si>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</si>
  <si>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</si>
  <si>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</si>
  <si>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</si>
  <si>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</si>
  <si>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</si>
  <si>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</si>
  <si>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</si>
  <si>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</si>
  <si>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</si>
  <si>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</si>
  <si>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</si>
  <si>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</si>
  <si>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</si>
  <si>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</si>
  <si>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</si>
  <si>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</si>
  <si>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</si>
  <si>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</si>
  <si>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</si>
  <si>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</si>
  <si>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</si>
  <si>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</si>
  <si>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</si>
  <si>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</si>
  <si>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</si>
  <si>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</si>
  <si>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</si>
  <si>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</si>
  <si>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</si>
  <si>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</si>
  <si>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</si>
  <si>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</si>
  <si>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</si>
  <si>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</si>
  <si>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</si>
  <si>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</si>
  <si>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</si>
  <si>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</si>
  <si>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</si>
  <si>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</si>
  <si>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</si>
  <si>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</si>
  <si>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</si>
  <si>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</si>
  <si>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</si>
  <si>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</si>
  <si>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</si>
  <si>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</si>
  <si>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</si>
  <si>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</si>
  <si>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</si>
  <si>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</si>
  <si>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</si>
  <si>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</si>
  <si>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</si>
  <si>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</si>
  <si>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</si>
  <si>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</si>
  <si>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</si>
  <si>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</si>
  <si>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</si>
  <si>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</si>
  <si>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</si>
  <si>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</si>
  <si>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</si>
  <si>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</si>
  <si>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</si>
  <si>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</si>
  <si>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</si>
  <si>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</si>
  <si>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</si>
  <si>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</si>
  <si>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</si>
  <si>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</si>
  <si>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</si>
  <si>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</si>
  <si>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</si>
  <si>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</si>
  <si>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</si>
  <si>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</si>
  <si>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</si>
  <si>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</si>
  <si>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</si>
  <si>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</si>
  <si>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</si>
  <si>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</si>
  <si>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</si>
  <si>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</si>
  <si>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</si>
  <si>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</si>
  <si>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</si>
  <si>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</si>
  <si>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</si>
  <si>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</si>
  <si>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</si>
  <si>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</si>
  <si>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</si>
  <si>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</si>
  <si>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</si>
  <si>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</si>
  <si>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</si>
  <si>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</si>
  <si>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</si>
  <si>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</si>
  <si>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</si>
  <si>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</si>
  <si>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</si>
  <si>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</si>
  <si>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</si>
  <si>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</si>
  <si>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</si>
  <si>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</si>
  <si>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</si>
  <si>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</si>
  <si>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</si>
  <si>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</si>
  <si>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</si>
  <si>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</si>
  <si>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</si>
  <si>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</si>
  <si>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</si>
  <si>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</si>
  <si>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</si>
  <si>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</si>
  <si>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</si>
  <si>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</si>
  <si>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</si>
  <si>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</si>
  <si>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</si>
  <si>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</si>
  <si>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</si>
  <si>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</si>
  <si>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</si>
  <si>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</si>
  <si>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</si>
  <si>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</si>
  <si>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</si>
  <si>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</si>
  <si>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</si>
  <si>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</si>
  <si>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</si>
  <si>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</si>
  <si>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</si>
  <si>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</si>
  <si>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</si>
  <si>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</si>
  <si>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</si>
  <si>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</si>
  <si>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</si>
  <si>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</si>
  <si>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</si>
  <si>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</si>
  <si>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</si>
  <si>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</si>
  <si>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</si>
  <si>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</si>
  <si>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</si>
  <si>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</si>
  <si>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</si>
  <si>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</si>
  <si>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</si>
  <si>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</si>
  <si>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</si>
  <si>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</si>
  <si>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</si>
  <si>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</si>
  <si>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</si>
  <si>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</si>
  <si>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</si>
  <si>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</si>
  <si>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</si>
  <si>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</si>
  <si>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</si>
  <si>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</si>
  <si>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</si>
  <si>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</si>
  <si>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</si>
  <si>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</si>
  <si>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</si>
  <si>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</si>
  <si>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</si>
  <si>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</si>
  <si>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</si>
  <si>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</si>
  <si>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</si>
  <si>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</si>
  <si>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</si>
  <si>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</si>
  <si>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</si>
  <si>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</si>
  <si>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</si>
  <si>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</si>
  <si>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</si>
  <si>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</si>
  <si>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</si>
  <si>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</si>
  <si>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</si>
  <si>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</si>
  <si>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</si>
  <si>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</si>
  <si>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</si>
  <si>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</si>
  <si>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</si>
  <si>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</si>
  <si>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</si>
  <si>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</si>
  <si>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</si>
  <si>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</si>
  <si>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</si>
  <si>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</si>
  <si>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</si>
  <si>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</si>
  <si>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</si>
  <si>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</si>
  <si>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</si>
  <si>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</si>
  <si>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</si>
  <si>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</si>
  <si>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</si>
  <si>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</si>
  <si>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</si>
  <si>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</si>
  <si>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</si>
  <si>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</si>
  <si>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</si>
  <si>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</si>
  <si>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</si>
  <si>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</si>
  <si>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</si>
  <si>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</si>
  <si>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</si>
  <si>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</si>
  <si>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</si>
  <si>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</si>
  <si>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</si>
  <si>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</si>
  <si>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</si>
  <si>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</si>
  <si>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</si>
  <si>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</si>
  <si>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</si>
  <si>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</si>
  <si>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</si>
  <si>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</si>
  <si>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</si>
  <si>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</si>
  <si>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</si>
  <si>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</si>
  <si>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</si>
  <si>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</si>
  <si>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</si>
  <si>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</si>
  <si>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</si>
  <si>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</si>
  <si>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</si>
  <si>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</si>
  <si>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</si>
  <si>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</si>
  <si>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</si>
  <si>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</si>
  <si>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</si>
  <si>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</si>
  <si>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</si>
  <si>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</si>
  <si>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</si>
  <si>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</si>
  <si>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</si>
  <si>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</si>
  <si>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</si>
  <si>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</si>
  <si>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</si>
  <si>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</si>
  <si>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</si>
  <si>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</si>
  <si>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</si>
  <si>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</si>
  <si>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</si>
  <si>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</si>
  <si>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</si>
  <si>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</si>
  <si>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</si>
  <si>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</si>
  <si>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</si>
  <si>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</si>
  <si>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</si>
  <si>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</si>
  <si>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</si>
  <si>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</si>
  <si>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</si>
  <si>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</si>
  <si>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</si>
  <si>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</si>
  <si>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</si>
  <si>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</si>
  <si>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</si>
  <si>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</si>
  <si>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</si>
  <si>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</si>
  <si>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</si>
  <si>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</si>
  <si>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</si>
  <si>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</si>
  <si>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</si>
  <si>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</si>
  <si>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</si>
  <si>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</si>
  <si>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</si>
  <si>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</si>
  <si>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</si>
  <si>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</si>
  <si>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</si>
  <si>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</si>
  <si>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</si>
  <si>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</si>
  <si>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</si>
  <si>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</si>
  <si>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</si>
  <si>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</si>
  <si>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</si>
  <si>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</si>
  <si>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</si>
  <si>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</si>
  <si>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</si>
  <si>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</si>
  <si>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</si>
  <si>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</si>
  <si>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</si>
  <si>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</si>
  <si>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</si>
  <si>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</si>
  <si>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</si>
  <si>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</si>
  <si>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</si>
  <si>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</si>
  <si>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</si>
  <si>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</si>
  <si>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</si>
  <si>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</si>
  <si>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</si>
  <si>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</si>
  <si>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</si>
  <si>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</si>
  <si>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</si>
  <si>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</si>
  <si>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</si>
  <si>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</si>
  <si>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</si>
  <si>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</si>
  <si>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</si>
  <si>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</si>
  <si>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</si>
  <si>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</si>
  <si>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</si>
  <si>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</si>
  <si>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</si>
  <si>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</si>
  <si>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</si>
  <si>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</si>
  <si>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</si>
  <si>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</si>
  <si>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</si>
  <si>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</si>
  <si>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</si>
  <si>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</si>
  <si>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</si>
  <si>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</si>
  <si>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</si>
  <si>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</si>
  <si>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</si>
  <si>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</si>
  <si>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</si>
  <si>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</si>
  <si>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</si>
  <si>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</si>
  <si>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</si>
  <si>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</si>
  <si>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</si>
  <si>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</si>
  <si>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</si>
  <si>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</si>
  <si>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</si>
  <si>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</si>
  <si>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</si>
  <si>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</si>
  <si>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</si>
  <si>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</si>
  <si>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</si>
  <si>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</si>
  <si>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</si>
  <si>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</si>
  <si>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</si>
  <si>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</si>
  <si>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</si>
  <si>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</si>
  <si>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</si>
  <si>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</si>
  <si>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</si>
  <si>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</si>
  <si>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</si>
  <si>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</si>
  <si>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</si>
  <si>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</si>
  <si>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</si>
  <si>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</si>
  <si>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</si>
  <si>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</si>
  <si>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</si>
  <si>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</si>
  <si>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</si>
  <si>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</si>
  <si>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</si>
  <si>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</si>
  <si>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</si>
  <si>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</si>
  <si>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</si>
  <si>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</si>
  <si>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</si>
  <si>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</si>
  <si>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</si>
  <si>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</si>
  <si>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</si>
  <si>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</si>
  <si>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</si>
  <si>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</si>
  <si>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</si>
  <si>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</si>
  <si>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</si>
  <si>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</si>
  <si>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</si>
  <si>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</si>
  <si>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</si>
  <si>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</si>
  <si>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</si>
  <si>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</si>
  <si>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</si>
  <si>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</si>
  <si>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</si>
  <si>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</si>
  <si>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</si>
  <si>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</si>
  <si>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</si>
  <si>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</si>
  <si>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</si>
  <si>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</si>
  <si>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</si>
  <si>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</si>
  <si>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</si>
  <si>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</si>
  <si>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</si>
  <si>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</si>
  <si>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</si>
  <si>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</si>
  <si>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</si>
  <si>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</si>
  <si>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</si>
  <si>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</si>
  <si>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</si>
  <si>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</si>
  <si>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</si>
  <si>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</si>
  <si>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</si>
  <si>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</si>
  <si>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</si>
  <si>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</si>
  <si>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</si>
  <si>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</si>
  <si>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</si>
  <si>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</si>
  <si>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</si>
  <si>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</si>
  <si>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</si>
  <si>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</si>
  <si>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</si>
  <si>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</si>
  <si>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</si>
  <si>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</si>
  <si>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</si>
  <si>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</si>
  <si>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</si>
  <si>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</si>
  <si>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</si>
  <si>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</si>
  <si>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</si>
  <si>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</si>
  <si>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</si>
  <si>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</si>
  <si>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</si>
  <si>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</si>
  <si>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</si>
  <si>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</si>
  <si>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</si>
  <si>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</si>
  <si>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</si>
  <si>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</si>
  <si>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</si>
  <si>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</si>
  <si>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</si>
  <si>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</si>
  <si>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</si>
  <si>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</si>
  <si>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</si>
  <si>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</si>
  <si>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</si>
  <si>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</si>
  <si>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</si>
  <si>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</si>
  <si>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</si>
  <si>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</si>
  <si>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</si>
  <si>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</si>
  <si>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</si>
  <si>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</si>
  <si>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</si>
  <si>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</si>
  <si>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</si>
  <si>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</si>
  <si>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</si>
  <si>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</si>
  <si>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</si>
  <si>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</si>
  <si>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</si>
  <si>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</si>
  <si>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</si>
  <si>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</si>
  <si>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</si>
  <si>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</si>
  <si>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</si>
  <si>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</si>
  <si>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</si>
  <si>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</si>
  <si>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</si>
  <si>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</si>
  <si>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</si>
  <si>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</si>
  <si>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</si>
  <si>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</si>
  <si>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</si>
  <si>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</si>
  <si>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</si>
  <si>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</si>
  <si>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</si>
  <si>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</si>
  <si>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</si>
  <si>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</si>
  <si>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</si>
  <si>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</si>
  <si>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</si>
  <si>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</si>
  <si>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</si>
  <si>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</si>
  <si>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</si>
  <si>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</si>
  <si>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</si>
  <si>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</si>
  <si>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</si>
  <si>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</si>
  <si>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</si>
  <si>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</si>
  <si>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</si>
  <si>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</si>
  <si>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</si>
  <si>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</si>
  <si>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</si>
  <si>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</si>
  <si>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</si>
  <si>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</si>
  <si>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</si>
  <si>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</si>
  <si>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</si>
  <si>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</si>
  <si>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</si>
  <si>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</si>
  <si>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</si>
  <si>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</si>
  <si>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</si>
  <si>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</si>
  <si>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</si>
  <si>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</si>
  <si>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</si>
  <si>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</si>
  <si>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</si>
  <si>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</si>
  <si>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</si>
  <si>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</si>
  <si>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</si>
  <si>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</si>
  <si>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</si>
  <si>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</si>
  <si>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</si>
  <si>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</si>
  <si>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</si>
  <si>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</si>
  <si>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</si>
  <si>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</si>
  <si>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</si>
  <si>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</si>
  <si>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</si>
  <si>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</si>
  <si>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</si>
  <si>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</si>
  <si>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</si>
  <si>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</si>
  <si>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</si>
  <si>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</si>
  <si>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</si>
  <si>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</si>
  <si>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</si>
  <si>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</si>
  <si>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</si>
  <si>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</si>
  <si>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</si>
  <si>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</si>
  <si>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</si>
  <si>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</si>
  <si>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</si>
  <si>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</si>
  <si>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</si>
  <si>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</si>
  <si>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</si>
  <si>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</si>
  <si>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</si>
  <si>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</si>
  <si>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</si>
  <si>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</si>
  <si>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</si>
  <si>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</si>
  <si>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</si>
  <si>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</si>
  <si>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</si>
  <si>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</si>
  <si>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</si>
  <si>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</si>
  <si>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</si>
  <si>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</si>
  <si>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</si>
  <si>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</si>
  <si>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</si>
  <si>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</si>
  <si>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</si>
  <si>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</si>
  <si>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</si>
  <si>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</si>
  <si>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</si>
  <si>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</si>
  <si>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</si>
  <si>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</si>
  <si>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</si>
  <si>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</si>
  <si>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</si>
  <si>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</si>
  <si>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</si>
  <si>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</si>
  <si>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</si>
  <si>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</si>
  <si>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</si>
  <si>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</si>
  <si>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</si>
  <si>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</si>
  <si>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</si>
  <si>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</si>
  <si>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</si>
  <si>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</si>
  <si>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</si>
  <si>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</si>
  <si>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</si>
  <si>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</si>
  <si>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</si>
  <si>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</si>
  <si>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</si>
  <si>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</si>
  <si>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</si>
  <si>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</si>
  <si>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</si>
  <si>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</si>
  <si>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</si>
  <si>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</si>
  <si>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</si>
  <si>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</si>
  <si>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</si>
  <si>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</si>
  <si>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</si>
  <si>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</si>
  <si>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</si>
  <si>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</si>
  <si>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</si>
  <si>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</si>
  <si>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</si>
  <si>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</si>
  <si>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</si>
  <si>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</si>
  <si>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</si>
  <si>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</si>
  <si>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</si>
  <si>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</si>
  <si>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</si>
  <si>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</si>
  <si>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</si>
  <si>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</si>
  <si>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</si>
  <si>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</si>
  <si>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</si>
  <si>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</si>
  <si>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</si>
  <si>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</si>
  <si>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</si>
  <si>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</si>
  <si>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</si>
  <si>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</si>
  <si>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</si>
  <si>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</si>
  <si>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</si>
  <si>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</si>
  <si>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</si>
  <si>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</si>
  <si>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</si>
  <si>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</si>
  <si>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</si>
  <si>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</si>
  <si>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</si>
  <si>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</si>
  <si>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</si>
  <si>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</si>
  <si>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</si>
  <si>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</si>
  <si>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</si>
  <si>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</si>
  <si>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</si>
  <si>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</si>
  <si>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</si>
  <si>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</si>
  <si>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</si>
  <si>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</si>
  <si>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</si>
  <si>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</si>
  <si>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</si>
  <si>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</si>
  <si>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</si>
  <si>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</si>
  <si>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</si>
  <si>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</si>
  <si>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</si>
  <si>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</si>
  <si>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</si>
  <si>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</si>
  <si>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</si>
  <si>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</si>
  <si>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</si>
  <si>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</si>
  <si>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</si>
  <si>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</si>
  <si>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</si>
  <si>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</si>
  <si>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</si>
  <si>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</si>
  <si>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</si>
  <si>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</si>
  <si>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</si>
  <si>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</si>
  <si>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</si>
  <si>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</si>
  <si>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</si>
  <si>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</si>
  <si>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</si>
  <si>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</si>
  <si>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</si>
  <si>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</si>
  <si>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</si>
  <si>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</si>
  <si>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</si>
  <si>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</si>
  <si>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</si>
  <si>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</si>
  <si>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</si>
  <si>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</si>
  <si>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</si>
  <si>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</si>
  <si>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</si>
  <si>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</si>
  <si>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</si>
  <si>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</si>
  <si>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</si>
  <si>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</si>
  <si>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</si>
  <si>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</si>
  <si>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</si>
  <si>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</si>
  <si>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</si>
  <si>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</si>
  <si>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</si>
  <si>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</si>
  <si>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</si>
  <si>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</si>
  <si>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</si>
  <si>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</si>
  <si>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</si>
  <si>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</si>
  <si>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</si>
  <si>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</si>
  <si>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</si>
  <si>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</si>
  <si>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</si>
  <si>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</si>
  <si>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</si>
  <si>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</si>
  <si>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</si>
  <si>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</si>
  <si>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</si>
  <si>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</si>
  <si>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</si>
  <si>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</si>
  <si>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</si>
  <si>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</si>
  <si>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</si>
  <si>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</si>
  <si>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</si>
  <si>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</si>
  <si>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</si>
  <si>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</si>
  <si>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</si>
  <si>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</si>
  <si>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</si>
  <si>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</si>
  <si>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</si>
  <si>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</si>
  <si>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</si>
  <si>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</si>
  <si>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</si>
  <si>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</si>
  <si>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</si>
  <si>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</si>
  <si>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</si>
  <si>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</si>
  <si>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</si>
  <si>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</si>
  <si>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</si>
  <si>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</si>
  <si>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</si>
  <si>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</si>
  <si>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</si>
  <si>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</si>
  <si>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</si>
  <si>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</si>
  <si>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</si>
  <si>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</si>
  <si>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</si>
  <si>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</si>
  <si>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</si>
  <si>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</si>
  <si>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</si>
  <si>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</si>
  <si>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</si>
  <si>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</si>
  <si>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</si>
  <si>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</si>
  <si>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</si>
  <si>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</si>
  <si>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</si>
  <si>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</si>
  <si>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</si>
  <si>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</si>
  <si>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</si>
  <si>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</si>
  <si>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</si>
  <si>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</si>
  <si>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</si>
  <si>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</si>
  <si>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</si>
  <si>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</si>
  <si>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</si>
  <si>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</si>
  <si>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</si>
  <si>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</si>
  <si>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</si>
  <si>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</si>
  <si>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</si>
  <si>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</si>
  <si>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</si>
  <si>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</si>
  <si>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</si>
  <si>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</si>
  <si>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</si>
  <si>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</si>
  <si>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</si>
  <si>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</si>
  <si>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</si>
  <si>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</si>
  <si>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</si>
  <si>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</si>
  <si>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</si>
  <si>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</si>
  <si>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</si>
  <si>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</si>
  <si>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</si>
  <si>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</si>
  <si>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</si>
  <si>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</si>
  <si>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</si>
  <si>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</si>
  <si>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</si>
  <si>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</si>
  <si>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</si>
  <si>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</si>
  <si>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</si>
  <si>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</si>
  <si>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</si>
  <si>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</si>
  <si>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</si>
  <si>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</si>
  <si>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</si>
  <si>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</si>
  <si>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</si>
  <si>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</si>
  <si>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</si>
  <si>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</si>
  <si>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</si>
  <si>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</si>
  <si>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</si>
  <si>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</si>
  <si>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</si>
  <si>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</si>
  <si>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</si>
  <si>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</si>
  <si>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</si>
  <si>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</si>
  <si>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</si>
  <si>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</si>
  <si>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</si>
  <si>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</si>
  <si>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</si>
  <si>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</si>
  <si>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</si>
  <si>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</si>
  <si>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</si>
  <si>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</si>
  <si>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</si>
  <si>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</si>
  <si>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</si>
  <si>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</si>
  <si>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</si>
  <si>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</si>
  <si>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</si>
  <si>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</si>
  <si>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</si>
  <si>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</si>
  <si>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</si>
  <si>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</si>
  <si>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</si>
  <si>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</si>
  <si>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</si>
  <si>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</si>
  <si>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</si>
  <si>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</si>
  <si>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</si>
  <si>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</si>
  <si>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</si>
  <si>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</si>
  <si>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</si>
  <si>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</si>
  <si>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</si>
  <si>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</si>
  <si>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</si>
  <si>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</si>
  <si>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</si>
  <si>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</si>
  <si>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</si>
  <si>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</si>
  <si>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</si>
  <si>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</si>
  <si>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</si>
  <si>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</si>
  <si>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</si>
  <si>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</si>
  <si>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</si>
  <si>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</si>
  <si>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</si>
  <si>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</si>
  <si>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</si>
  <si>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</si>
  <si>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</si>
  <si>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</si>
  <si>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</si>
  <si>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</si>
  <si>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</si>
  <si>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</si>
  <si>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</si>
  <si>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</si>
  <si>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</si>
  <si>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</si>
  <si>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</si>
  <si>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</si>
  <si>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</si>
  <si>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</si>
  <si>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</si>
  <si>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</si>
  <si>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</si>
  <si>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</si>
  <si>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</si>
  <si>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</si>
  <si>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</si>
  <si>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</si>
  <si>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</si>
  <si>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</si>
  <si>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</si>
  <si>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</si>
  <si>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</si>
  <si>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</si>
  <si>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</si>
  <si>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</si>
  <si>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</si>
  <si>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</si>
  <si>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</si>
  <si>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</si>
  <si>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</si>
  <si>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</si>
  <si>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</si>
  <si>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</si>
  <si>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</si>
  <si>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</si>
  <si>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</si>
  <si>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</si>
  <si>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</si>
  <si>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</si>
  <si>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</si>
  <si>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</si>
  <si>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</si>
  <si>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</si>
  <si>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</si>
  <si>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</si>
  <si>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</si>
  <si>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</si>
  <si>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</si>
  <si>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</si>
  <si>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</si>
  <si>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</si>
  <si>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</si>
  <si>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</si>
  <si>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</si>
  <si>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</si>
  <si>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</si>
  <si>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</si>
  <si>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</si>
  <si>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</si>
  <si>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</si>
  <si>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</si>
  <si>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</si>
  <si>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</si>
  <si>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</si>
  <si>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</si>
  <si>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</si>
  <si>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</si>
  <si>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</si>
  <si>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</si>
  <si>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</si>
  <si>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</si>
  <si>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</si>
  <si>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</si>
  <si>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</si>
  <si>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</si>
  <si>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</si>
  <si>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</si>
  <si>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</si>
  <si>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</si>
  <si>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</si>
  <si>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</si>
  <si>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</si>
  <si>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</si>
  <si>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</si>
  <si>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</si>
  <si>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</si>
  <si>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</si>
  <si>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</si>
  <si>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</si>
  <si>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</si>
  <si>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</si>
  <si>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</si>
  <si>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</si>
  <si>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</si>
  <si>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</si>
  <si>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</si>
  <si>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</si>
  <si>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</si>
  <si>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</si>
  <si>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</si>
  <si>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</si>
  <si>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</si>
  <si>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</si>
  <si>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</si>
  <si>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</si>
  <si>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</si>
  <si>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</si>
  <si>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</si>
  <si>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</si>
  <si>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</si>
  <si>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</si>
  <si>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</si>
  <si>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</si>
  <si>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</si>
  <si>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</si>
  <si>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</si>
  <si>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</si>
  <si>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</si>
  <si>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</si>
  <si>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</si>
  <si>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</si>
  <si>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</si>
  <si>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</si>
  <si>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</si>
  <si>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</si>
  <si>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</si>
  <si>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</si>
  <si>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</si>
  <si>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</si>
  <si>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</si>
  <si>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</si>
  <si>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</si>
  <si>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</si>
  <si>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</si>
  <si>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</si>
  <si>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</si>
  <si>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</si>
  <si>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</si>
  <si>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</si>
  <si>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</si>
  <si>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</si>
  <si>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</si>
  <si>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</si>
  <si>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</si>
  <si>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</si>
  <si>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</si>
  <si>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</si>
  <si>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</si>
  <si>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</si>
  <si>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</si>
  <si>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</si>
  <si>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</si>
  <si>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</si>
  <si>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</si>
  <si>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</si>
  <si>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</si>
  <si>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</si>
  <si>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</si>
  <si>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</si>
  <si>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</si>
  <si>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</si>
  <si>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</si>
  <si>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</si>
  <si>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</si>
  <si>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</si>
  <si>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</si>
  <si>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</si>
  <si>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</si>
  <si>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</si>
  <si>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</si>
  <si>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</si>
  <si>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</si>
  <si>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</si>
  <si>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</si>
  <si>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</si>
  <si>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</si>
  <si>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</si>
  <si>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</si>
  <si>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</si>
  <si>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</si>
  <si>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</si>
  <si>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</si>
  <si>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</si>
  <si>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</si>
  <si>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</si>
  <si>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</si>
  <si>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</si>
  <si>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</si>
  <si>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</si>
  <si>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</si>
  <si>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</si>
  <si>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</si>
  <si>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</si>
  <si>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</si>
  <si>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</si>
  <si>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</si>
  <si>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</si>
  <si>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</si>
  <si>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</si>
  <si>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</si>
  <si>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</si>
  <si>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</si>
  <si>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</si>
  <si>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</si>
  <si>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</si>
  <si>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</si>
  <si>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</si>
  <si>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</si>
  <si>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</si>
  <si>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</si>
  <si>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</si>
  <si>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</si>
  <si>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</si>
  <si>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</si>
  <si>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</si>
  <si>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</si>
  <si>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</si>
  <si>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</si>
  <si>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</si>
  <si>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</si>
  <si>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</si>
  <si>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</si>
  <si>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</si>
  <si>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</si>
  <si>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</si>
  <si>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</si>
  <si>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</si>
  <si>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</si>
  <si>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</si>
  <si>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</si>
  <si>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</si>
  <si>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</si>
  <si>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</si>
  <si>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</si>
  <si>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</si>
  <si>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</si>
  <si>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</si>
  <si>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</si>
  <si>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</si>
  <si>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</si>
  <si>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</si>
  <si>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</si>
  <si>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</si>
  <si>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</si>
  <si>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</si>
  <si>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</si>
  <si>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</si>
  <si>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</si>
  <si>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</si>
  <si>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</si>
  <si>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</si>
  <si>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</si>
  <si>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</si>
  <si>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</si>
  <si>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</si>
  <si>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</si>
  <si>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</si>
  <si>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</si>
  <si>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</si>
  <si>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</si>
  <si>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</si>
  <si>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</si>
  <si>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</si>
  <si>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</si>
  <si>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</si>
  <si>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</si>
  <si>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</si>
  <si>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</si>
  <si>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</si>
  <si>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</si>
  <si>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</si>
  <si>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</si>
  <si>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</si>
  <si>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</si>
  <si>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</si>
  <si>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</si>
  <si>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</si>
  <si>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</si>
  <si>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</si>
  <si>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</si>
  <si>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</si>
  <si>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</si>
  <si>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</si>
  <si>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</si>
  <si>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</si>
  <si>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</si>
  <si>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</si>
  <si>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</si>
  <si>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</si>
  <si>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</si>
  <si>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</si>
  <si>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</si>
  <si>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</si>
  <si>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</si>
  <si>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</si>
  <si>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</si>
  <si>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</si>
  <si>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</si>
  <si>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</si>
  <si>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</si>
  <si>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</si>
  <si>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</si>
  <si>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</si>
  <si>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</si>
  <si>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</si>
  <si>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</si>
  <si>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</si>
  <si>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</si>
  <si>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</si>
  <si>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</si>
  <si>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</si>
  <si>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</si>
  <si>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</si>
  <si>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</si>
  <si>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</si>
  <si>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</si>
  <si>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</si>
  <si>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</si>
  <si>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</si>
  <si>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</si>
  <si>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</si>
  <si>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</si>
  <si>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</si>
  <si>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</si>
  <si>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</si>
  <si>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</si>
  <si>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</si>
  <si>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</si>
  <si>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</si>
  <si>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</si>
  <si>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</si>
  <si>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</si>
  <si>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</si>
  <si>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</si>
  <si>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</si>
  <si>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</si>
  <si>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</si>
  <si>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</si>
  <si>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</si>
  <si>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</si>
  <si>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</si>
  <si>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</si>
  <si>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</si>
  <si>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</si>
  <si>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</si>
  <si>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</si>
  <si>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</si>
  <si>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</si>
  <si>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</si>
  <si>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</si>
  <si>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</si>
  <si>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</si>
  <si>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</si>
  <si>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</si>
  <si>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</si>
  <si>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</si>
  <si>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</si>
  <si>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</si>
  <si>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</si>
  <si>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</si>
  <si>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</si>
  <si>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</si>
  <si>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</si>
  <si>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</si>
  <si>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</si>
  <si>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</si>
  <si>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</si>
  <si>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</si>
  <si>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</si>
  <si>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</si>
  <si>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</si>
  <si>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</si>
  <si>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</si>
  <si>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</si>
  <si>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</si>
  <si>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</si>
  <si>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</si>
  <si>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</si>
  <si>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</si>
  <si>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</si>
  <si>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</si>
  <si>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</si>
  <si>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</si>
  <si>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</si>
  <si>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</si>
  <si>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</si>
  <si>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</si>
  <si>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</si>
  <si>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</si>
  <si>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</si>
  <si>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</si>
  <si>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</si>
  <si>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</si>
  <si>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</si>
  <si>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</si>
  <si>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</si>
  <si>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</si>
  <si>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</si>
  <si>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</si>
  <si>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</si>
  <si>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</si>
  <si>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</si>
  <si>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</si>
  <si>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</si>
  <si>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</si>
  <si>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</si>
  <si>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</si>
  <si>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</si>
  <si>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</si>
  <si>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</si>
  <si>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</si>
  <si>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</si>
  <si>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</si>
  <si>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</si>
  <si>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</si>
  <si>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</si>
  <si>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</si>
  <si>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</si>
  <si>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</si>
  <si>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</si>
  <si>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</si>
  <si>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</si>
  <si>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</si>
  <si>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</si>
  <si>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</si>
  <si>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</si>
  <si>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</si>
  <si>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</si>
  <si>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</si>
  <si>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</si>
  <si>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</si>
  <si>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</si>
  <si>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</si>
  <si>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</si>
  <si>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</si>
  <si>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</si>
  <si>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</si>
  <si>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</si>
  <si>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</si>
  <si>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</si>
  <si>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</si>
  <si>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</si>
  <si>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</si>
  <si>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</si>
  <si>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</si>
  <si>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</si>
  <si>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</si>
  <si>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</si>
  <si>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</si>
  <si>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</si>
  <si>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</si>
  <si>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</si>
  <si>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</si>
  <si>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</si>
  <si>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</si>
  <si>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</si>
  <si>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</si>
  <si>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</si>
  <si>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</si>
  <si>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</si>
  <si>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</si>
  <si>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</si>
  <si>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</si>
  <si>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</si>
  <si>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</si>
  <si>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</si>
  <si>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</si>
  <si>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</si>
  <si>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</si>
  <si>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</si>
  <si>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</si>
  <si>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</si>
  <si>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</si>
  <si>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</si>
  <si>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</si>
  <si>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</si>
  <si>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</si>
  <si>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</si>
  <si>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</si>
  <si>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</si>
  <si>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</si>
  <si>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</si>
  <si>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</si>
  <si>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</si>
  <si>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</si>
  <si>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</si>
  <si>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</si>
  <si>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</si>
  <si>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</si>
  <si>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</si>
  <si>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</si>
  <si>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</si>
  <si>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</si>
  <si>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</si>
  <si>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</si>
  <si>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</si>
  <si>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</si>
  <si>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</si>
  <si>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</si>
  <si>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</si>
  <si>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</si>
  <si>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</si>
  <si>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</si>
  <si>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</si>
  <si>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</si>
  <si>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</si>
  <si>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</si>
  <si>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</si>
  <si>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</si>
  <si>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</si>
  <si>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</si>
  <si>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</si>
  <si>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</si>
  <si>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</si>
  <si>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</si>
  <si>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</si>
  <si>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</si>
  <si>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</si>
  <si>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</si>
  <si>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</si>
  <si>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</si>
  <si>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</si>
  <si>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</si>
  <si>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</si>
  <si>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</si>
  <si>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</si>
  <si>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</si>
  <si>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</si>
  <si>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</si>
  <si>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</si>
  <si>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</si>
  <si>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</si>
  <si>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</si>
  <si>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</si>
  <si>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</si>
  <si>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</si>
  <si>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</si>
  <si>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</si>
  <si>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</si>
  <si>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</si>
  <si>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</si>
  <si>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</si>
  <si>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</si>
  <si>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</si>
  <si>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</si>
  <si>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</si>
  <si>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</si>
  <si>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</si>
  <si>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</si>
  <si>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</si>
  <si>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</si>
  <si>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</si>
  <si>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</si>
  <si>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</si>
  <si>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</si>
  <si>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</si>
  <si>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</si>
  <si>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</si>
  <si>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</si>
  <si>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</si>
  <si>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</si>
  <si>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</si>
  <si>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</si>
  <si>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</si>
  <si>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</si>
  <si>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</si>
  <si>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</si>
  <si>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</si>
  <si>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</si>
  <si>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</si>
  <si>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</si>
  <si>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</si>
  <si>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</si>
  <si>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</si>
  <si>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</si>
  <si>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</si>
  <si>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</si>
  <si>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</si>
  <si>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</si>
  <si>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</si>
  <si>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</si>
  <si>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</si>
  <si>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</si>
  <si>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</si>
  <si>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</si>
  <si>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</si>
  <si>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</si>
  <si>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</si>
  <si>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</si>
  <si>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</si>
  <si>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</si>
  <si>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</si>
  <si>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</si>
  <si>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</si>
  <si>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</si>
  <si>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</si>
  <si>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</si>
  <si>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</si>
  <si>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</si>
  <si>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</si>
  <si>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</si>
  <si>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</si>
  <si>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</si>
  <si>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</si>
  <si>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</si>
  <si>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</si>
  <si>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</si>
  <si>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</si>
  <si>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</si>
  <si>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</si>
  <si>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</si>
  <si>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</si>
  <si>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</si>
  <si>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</si>
  <si>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</si>
  <si>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</si>
  <si>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</si>
  <si>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</si>
  <si>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</si>
  <si>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</si>
  <si>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</si>
  <si>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</si>
  <si>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</si>
  <si>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</si>
  <si>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</si>
  <si>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</si>
  <si>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</si>
  <si>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</si>
  <si>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</si>
  <si>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</si>
  <si>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</si>
  <si>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</si>
  <si>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</si>
  <si>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</si>
  <si>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</si>
  <si>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</si>
  <si>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</si>
  <si>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</si>
  <si>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</si>
  <si>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</si>
  <si>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</si>
  <si>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</si>
  <si>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</si>
  <si>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</si>
  <si>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</si>
  <si>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</si>
  <si>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</si>
  <si>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</si>
  <si>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</si>
  <si>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</si>
  <si>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</si>
  <si>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</si>
  <si>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</si>
  <si>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</si>
  <si>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</si>
  <si>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</si>
  <si>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</si>
  <si>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</si>
  <si>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</si>
  <si>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</si>
  <si>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</si>
  <si>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</si>
  <si>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</si>
  <si>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</si>
  <si>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</si>
  <si>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</si>
  <si>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</si>
  <si>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</si>
  <si>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</si>
  <si>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</si>
  <si>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</si>
  <si>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</si>
  <si>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</si>
  <si>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</si>
  <si>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</si>
  <si>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</si>
  <si>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</si>
  <si>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</si>
  <si>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</si>
  <si>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</si>
  <si>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</si>
  <si>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</si>
  <si>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</si>
  <si>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</si>
  <si>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</si>
  <si>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</si>
  <si>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</si>
  <si>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</si>
  <si>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</si>
  <si>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</si>
  <si>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</si>
  <si>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</si>
  <si>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</si>
  <si>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</si>
  <si>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</si>
  <si>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</si>
  <si>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</si>
  <si>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</si>
  <si>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</si>
  <si>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</si>
  <si>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</si>
  <si>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</si>
  <si>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</si>
  <si>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</si>
  <si>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</si>
  <si>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</si>
  <si>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</si>
  <si>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</si>
  <si>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</si>
  <si>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</si>
  <si>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</si>
  <si>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</si>
  <si>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</si>
  <si>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</si>
  <si>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</si>
  <si>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</si>
  <si>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</si>
  <si>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</si>
  <si>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</si>
  <si>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</si>
  <si>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</si>
  <si>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</si>
  <si>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</si>
  <si>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</si>
  <si>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</si>
  <si>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</si>
  <si>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</si>
  <si>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</si>
  <si>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</si>
  <si>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</si>
  <si>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</si>
  <si>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</si>
  <si>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</si>
  <si>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</si>
  <si>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</si>
  <si>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</si>
  <si>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</si>
  <si>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</si>
  <si>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</si>
  <si>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</si>
  <si>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</si>
  <si>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</si>
  <si>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</si>
  <si>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</si>
  <si>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</si>
  <si>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</si>
  <si>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</si>
  <si>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</si>
  <si>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</si>
  <si>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</si>
  <si>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</si>
  <si>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</si>
  <si>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</si>
  <si>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</si>
  <si>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</si>
  <si>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</si>
  <si>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</si>
  <si>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</si>
  <si>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</si>
  <si>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</si>
  <si>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</si>
  <si>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</si>
  <si>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</si>
  <si>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</si>
  <si>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</si>
  <si>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</si>
  <si>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</si>
  <si>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</si>
  <si>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</si>
  <si>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</si>
  <si>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</si>
  <si>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</si>
  <si>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</si>
  <si>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</si>
  <si>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</si>
  <si>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</si>
  <si>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</si>
  <si>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</si>
  <si>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</si>
  <si>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</si>
  <si>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</si>
  <si>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</si>
  <si>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</si>
  <si>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</si>
  <si>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</si>
  <si>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</si>
  <si>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</si>
  <si>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</si>
  <si>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</si>
  <si>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</si>
  <si>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</si>
  <si>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</si>
  <si>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</si>
  <si>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</si>
  <si>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</si>
  <si>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</si>
  <si>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</si>
  <si>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</si>
  <si>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</si>
  <si>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</si>
  <si>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</si>
  <si>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</si>
  <si>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</si>
  <si>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</si>
  <si>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</si>
  <si>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</si>
  <si>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</si>
  <si>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</si>
  <si>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</si>
  <si>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</si>
  <si>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</si>
  <si>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</si>
  <si>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</si>
  <si>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</si>
  <si>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</si>
  <si>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</si>
  <si>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</si>
  <si>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</si>
  <si>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</si>
  <si>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</si>
  <si>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</si>
  <si>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</si>
  <si>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</si>
  <si>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</si>
  <si>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</si>
  <si>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</si>
  <si>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</si>
  <si>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</si>
  <si>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</si>
  <si>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</si>
  <si>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</si>
  <si>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</si>
  <si>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</si>
  <si>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</si>
  <si>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</si>
  <si>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</si>
  <si>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</si>
  <si>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</si>
  <si>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</si>
  <si>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</si>
  <si>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</si>
  <si>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</si>
  <si>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</si>
  <si>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</si>
  <si>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</si>
  <si>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</si>
  <si>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</si>
  <si>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</si>
  <si>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</si>
  <si>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</si>
  <si>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</si>
  <si>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</si>
  <si>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</si>
  <si>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</si>
  <si>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</si>
  <si>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</si>
  <si>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</si>
  <si>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</si>
  <si>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</si>
  <si>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</si>
  <si>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</si>
  <si>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</si>
  <si>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</si>
  <si>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</si>
  <si>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</si>
  <si>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</si>
  <si>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</si>
  <si>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</si>
  <si>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</si>
  <si>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</si>
  <si>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</si>
  <si>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</si>
  <si>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</si>
  <si>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</si>
  <si>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</si>
  <si>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</si>
  <si>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</si>
  <si>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</si>
  <si>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</si>
  <si>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</si>
  <si>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</si>
  <si>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</si>
  <si>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</si>
  <si>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</si>
  <si>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</si>
  <si>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</si>
  <si>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</si>
  <si>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</si>
  <si>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</si>
  <si>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</si>
  <si>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</si>
  <si>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</si>
  <si>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</si>
  <si>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</si>
  <si>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</si>
  <si>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</si>
  <si>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</si>
  <si>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</si>
  <si>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</si>
  <si>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</si>
  <si>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</si>
  <si>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</si>
  <si>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</si>
  <si>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</si>
  <si>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</si>
  <si>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</si>
  <si>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</si>
  <si>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</si>
  <si>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</si>
  <si>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</si>
  <si>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</si>
  <si>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</si>
  <si>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</si>
  <si>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</si>
  <si>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</si>
  <si>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</si>
  <si>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</si>
  <si>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</si>
  <si>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</si>
  <si>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</si>
  <si>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</si>
  <si>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</si>
  <si>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</si>
  <si>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</si>
  <si>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</si>
  <si>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</si>
  <si>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</si>
  <si>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</si>
  <si>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</si>
  <si>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</si>
  <si>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</si>
  <si>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</si>
  <si>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</si>
  <si>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</si>
  <si>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</si>
  <si>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</si>
  <si>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</si>
  <si>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</si>
  <si>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</si>
  <si>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</si>
  <si>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</si>
  <si>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</si>
  <si>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</si>
  <si>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</si>
  <si>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</si>
  <si>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</si>
  <si>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</si>
  <si>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</si>
  <si>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</si>
  <si>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</si>
  <si>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</si>
  <si>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</si>
  <si>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</si>
  <si>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</si>
  <si>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</si>
  <si>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</si>
  <si>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</si>
  <si>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</si>
  <si>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</si>
  <si>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</si>
  <si>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</si>
  <si>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</si>
  <si>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</si>
  <si>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</si>
  <si>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</si>
  <si>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</si>
  <si>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</si>
  <si>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</si>
  <si>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</si>
  <si>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</si>
  <si>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</si>
  <si>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</si>
  <si>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</si>
  <si>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</si>
  <si>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</si>
  <si>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</si>
  <si>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</si>
  <si>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</si>
  <si>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</si>
  <si>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</si>
  <si>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</si>
  <si>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</si>
  <si>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</si>
  <si>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</si>
  <si>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</si>
  <si>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</si>
  <si>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</si>
  <si>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</si>
  <si>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</si>
  <si>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</si>
  <si>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</si>
  <si>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</si>
  <si>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</si>
  <si>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</si>
  <si>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</si>
  <si>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</si>
  <si>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</si>
  <si>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</si>
  <si>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</si>
  <si>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</si>
  <si>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</si>
  <si>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</si>
  <si>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</si>
  <si>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</si>
  <si>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</si>
  <si>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</si>
  <si>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</si>
  <si>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</si>
  <si>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</si>
  <si>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</si>
  <si>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</si>
  <si>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</si>
  <si>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</si>
  <si>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</si>
  <si>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</si>
  <si>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</si>
  <si>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</si>
  <si>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</si>
  <si>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</si>
  <si>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</si>
  <si>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</si>
  <si>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</si>
  <si>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</si>
  <si>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</si>
  <si>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</si>
  <si>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</si>
  <si>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</si>
  <si>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</si>
  <si>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</si>
  <si>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</si>
  <si>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</si>
  <si>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</si>
  <si>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</si>
  <si>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</si>
  <si>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</si>
  <si>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</si>
  <si>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</si>
  <si>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</si>
  <si>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</si>
  <si>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</si>
  <si>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</si>
  <si>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</si>
  <si>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</si>
  <si>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</si>
  <si>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</si>
  <si>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</si>
  <si>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</si>
  <si>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</si>
  <si>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</si>
  <si>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</si>
  <si>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</si>
  <si>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</si>
  <si>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</si>
  <si>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</si>
  <si>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</si>
  <si>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</si>
  <si>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</si>
  <si>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</si>
  <si>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</si>
  <si>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</si>
  <si>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</si>
  <si>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</si>
  <si>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</si>
  <si>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</si>
  <si>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</si>
  <si>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</si>
  <si>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</si>
  <si>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</si>
  <si>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</si>
  <si>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</si>
  <si>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</si>
  <si>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</si>
  <si>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</si>
  <si>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</si>
  <si>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</si>
  <si>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</si>
  <si>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</si>
  <si>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</si>
  <si>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</si>
  <si>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</si>
  <si>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</si>
  <si>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</si>
  <si>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</si>
  <si>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</si>
  <si>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</si>
  <si>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</si>
  <si>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</si>
  <si>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</si>
  <si>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</si>
  <si>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</si>
  <si>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</si>
  <si>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</si>
  <si>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</si>
  <si>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</si>
  <si>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</si>
  <si>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</si>
  <si>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</si>
  <si>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</si>
  <si>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</si>
  <si>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</si>
  <si>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</si>
  <si>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</si>
  <si>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</si>
  <si>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</si>
  <si>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</si>
  <si>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</si>
  <si>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</si>
  <si>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</si>
  <si>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</si>
  <si>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</si>
  <si>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</si>
  <si>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</si>
  <si>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</si>
  <si>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</si>
  <si>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</si>
  <si>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</si>
  <si>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</si>
  <si>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</si>
  <si>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</si>
  <si>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</si>
  <si>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</si>
  <si>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</si>
  <si>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</si>
  <si>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</si>
  <si>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</si>
  <si>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</si>
  <si>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</si>
  <si>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</si>
  <si>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</si>
  <si>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</si>
  <si>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</si>
  <si>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</si>
  <si>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</si>
  <si>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</si>
  <si>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</si>
  <si>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</si>
  <si>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</si>
  <si>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</si>
  <si>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</si>
  <si>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</si>
  <si>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</si>
  <si>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</si>
  <si>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</si>
  <si>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</si>
  <si>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</si>
  <si>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</si>
  <si>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</si>
  <si>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</si>
  <si>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</si>
  <si>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</si>
  <si>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</si>
  <si>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</si>
  <si>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</si>
  <si>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</si>
  <si>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</si>
  <si>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</si>
  <si>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</si>
  <si>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</si>
  <si>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</si>
  <si>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</si>
  <si>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</si>
  <si>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</si>
  <si>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</si>
  <si>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</si>
  <si>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</si>
  <si>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</si>
  <si>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</si>
  <si>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</si>
  <si>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</si>
  <si>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</si>
  <si>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</si>
  <si>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</si>
  <si>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</si>
  <si>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</si>
  <si>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</si>
  <si>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</si>
  <si>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</si>
  <si>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</si>
  <si>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</si>
  <si>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</si>
  <si>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</si>
  <si>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</si>
  <si>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</si>
  <si>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</si>
  <si>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</si>
  <si>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</si>
  <si>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</si>
  <si>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</si>
  <si>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</si>
  <si>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</si>
  <si>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</si>
  <si>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</si>
  <si>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</si>
  <si>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</si>
  <si>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</si>
  <si>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</si>
  <si>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</si>
  <si>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</si>
  <si>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</si>
  <si>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</si>
  <si>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</si>
  <si>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</si>
  <si>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</si>
  <si>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</si>
  <si>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</si>
  <si>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</si>
  <si>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</si>
  <si>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</si>
  <si>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</si>
  <si>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</si>
  <si>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</si>
  <si>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</si>
  <si>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</si>
  <si>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</si>
  <si>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</si>
  <si>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</si>
  <si>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</si>
  <si>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</si>
  <si>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</si>
  <si>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</si>
  <si>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</si>
  <si>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</si>
  <si>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</si>
  <si>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</si>
  <si>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</si>
  <si>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</si>
  <si>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</si>
  <si>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</si>
  <si>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</si>
  <si>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</si>
  <si>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</si>
  <si>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</si>
  <si>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</si>
  <si>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</si>
  <si>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</si>
  <si>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</si>
  <si>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</si>
  <si>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</si>
  <si>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</si>
  <si>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</si>
  <si>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</si>
  <si>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</si>
  <si>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</si>
  <si>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</si>
  <si>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</si>
  <si>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</si>
  <si>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</si>
  <si>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</si>
  <si>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</si>
  <si>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</si>
  <si>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</si>
  <si>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</si>
  <si>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</si>
  <si>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</si>
  <si>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</si>
  <si>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</si>
  <si>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</si>
  <si>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</si>
  <si>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</si>
  <si>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</si>
  <si>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</si>
  <si>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</si>
  <si>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</si>
  <si>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</si>
  <si>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</si>
  <si>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</si>
  <si>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</si>
  <si>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</si>
  <si>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</si>
  <si>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</si>
  <si>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</si>
  <si>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</si>
  <si>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</si>
  <si>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</si>
  <si>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</si>
  <si>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</si>
  <si>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</si>
  <si>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</si>
  <si>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</si>
  <si>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</si>
  <si>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</si>
  <si>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</si>
  <si>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</si>
  <si>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</si>
  <si>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</si>
  <si>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</si>
  <si>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</si>
  <si>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</si>
  <si>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</si>
  <si>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</si>
  <si>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</si>
  <si>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</si>
  <si>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</si>
  <si>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</si>
  <si>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</si>
  <si>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</si>
  <si>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</si>
  <si>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</si>
  <si>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</si>
  <si>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</si>
  <si>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</si>
  <si>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</si>
  <si>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</si>
  <si>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</si>
  <si>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</si>
  <si>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</si>
  <si>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</si>
  <si>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</si>
  <si>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</si>
  <si>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</si>
  <si>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</si>
  <si>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</si>
  <si>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</si>
  <si>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</si>
  <si>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</si>
  <si>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</si>
  <si>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</si>
  <si>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</si>
  <si>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</si>
  <si>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</si>
  <si>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</si>
  <si>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</si>
  <si>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</si>
  <si>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</si>
  <si>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</si>
  <si>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</si>
  <si>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</si>
  <si>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</si>
  <si>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</si>
  <si>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</si>
  <si>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</si>
  <si>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</si>
  <si>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</si>
  <si>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</si>
  <si>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</si>
  <si>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</si>
  <si>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</si>
  <si>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</si>
  <si>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</si>
  <si>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</si>
  <si>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</si>
  <si>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</si>
  <si>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</si>
  <si>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</si>
  <si>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</si>
  <si>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</si>
  <si>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</si>
  <si>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</si>
  <si>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</si>
  <si>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</si>
  <si>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</si>
  <si>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</si>
  <si>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</si>
  <si>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</si>
  <si>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</si>
  <si>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</si>
  <si>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</si>
  <si>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</si>
  <si>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</si>
  <si>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</si>
  <si>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</si>
  <si>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</si>
  <si>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</si>
  <si>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</si>
  <si>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</si>
  <si>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</si>
  <si>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</si>
  <si>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</si>
  <si>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</si>
  <si>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</si>
  <si>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</si>
  <si>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</si>
  <si>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</si>
  <si>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</si>
  <si>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</si>
  <si>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</si>
  <si>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</si>
  <si>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</si>
  <si>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</si>
  <si>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</si>
  <si>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</si>
  <si>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</si>
  <si>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</si>
  <si>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</si>
  <si>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</si>
  <si>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</si>
  <si>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</si>
  <si>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</si>
  <si>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</si>
  <si>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</si>
  <si>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</si>
  <si>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</si>
  <si>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</si>
  <si>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</si>
  <si>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</si>
  <si>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</si>
  <si>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</si>
  <si>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</si>
  <si>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</si>
  <si>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</si>
  <si>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</si>
  <si>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</si>
  <si>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</si>
  <si>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</si>
  <si>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</si>
  <si>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</si>
  <si>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</si>
  <si>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</si>
  <si>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</si>
  <si>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</si>
  <si>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</si>
  <si>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</si>
  <si>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</si>
  <si>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</si>
  <si>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</si>
  <si>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</si>
  <si>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</si>
  <si>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</si>
  <si>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</si>
  <si>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</si>
  <si>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</si>
  <si>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</si>
  <si>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</si>
  <si>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</si>
  <si>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</si>
  <si>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</si>
  <si>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</si>
  <si>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</si>
  <si>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</si>
  <si>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</si>
  <si>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</si>
  <si>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</si>
  <si>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</si>
  <si>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</si>
  <si>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</si>
  <si>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</si>
  <si>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</si>
  <si>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</si>
  <si>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</si>
  <si>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</si>
  <si>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</si>
  <si>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</si>
  <si>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</si>
  <si>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</si>
  <si>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</si>
  <si>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</si>
  <si>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</si>
  <si>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</si>
  <si>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</si>
  <si>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</si>
  <si>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</si>
  <si>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</si>
  <si>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</si>
  <si>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</si>
  <si>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</si>
  <si>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</si>
  <si>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</si>
  <si>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</si>
  <si>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</si>
  <si>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</si>
  <si>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</si>
  <si>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</si>
  <si>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</si>
  <si>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</si>
  <si>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</si>
  <si>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</si>
  <si>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</si>
  <si>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</si>
  <si>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</si>
  <si>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</si>
  <si>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</si>
  <si>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</si>
  <si>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</si>
  <si>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</si>
  <si>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</si>
  <si>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</si>
  <si>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</si>
  <si>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</si>
  <si>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</si>
  <si>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</si>
  <si>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</si>
  <si>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</si>
  <si>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</si>
  <si>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</si>
  <si>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</si>
  <si>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</si>
  <si>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</si>
  <si>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</si>
  <si>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</si>
  <si>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</si>
  <si>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</si>
  <si>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</si>
  <si>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</si>
  <si>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</si>
  <si>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</si>
  <si>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</si>
  <si>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</si>
  <si>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</si>
  <si>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</si>
  <si>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</si>
  <si>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</si>
  <si>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</si>
  <si>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</si>
  <si>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</si>
  <si>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</si>
  <si>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</si>
  <si>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</si>
  <si>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</si>
  <si>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</si>
  <si>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</si>
  <si>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</si>
  <si>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</si>
  <si>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</si>
  <si>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</si>
  <si>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</si>
  <si>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</si>
  <si>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</si>
  <si>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</si>
  <si>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</si>
  <si>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</si>
  <si>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</si>
  <si>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</si>
  <si>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</si>
  <si>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</si>
  <si>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</si>
  <si>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</si>
  <si>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</si>
  <si>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</si>
  <si>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</si>
  <si>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</si>
  <si>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</si>
  <si>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</si>
  <si>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</si>
  <si>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</si>
  <si>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</si>
  <si>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</si>
  <si>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</si>
  <si>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</si>
  <si>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</si>
  <si>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</si>
  <si>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</si>
  <si>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</si>
  <si>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</si>
  <si>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</si>
  <si>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</si>
  <si>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</si>
  <si>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</si>
  <si>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</si>
  <si>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</si>
  <si>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</si>
  <si>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</si>
  <si>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</si>
  <si>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</si>
  <si>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</si>
  <si>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</si>
  <si>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</si>
  <si>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</si>
  <si>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</si>
  <si>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</si>
  <si>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</si>
  <si>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</si>
  <si>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</si>
  <si>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</si>
  <si>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</si>
  <si>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</si>
  <si>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</si>
  <si>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</si>
  <si>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</si>
  <si>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</si>
  <si>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</si>
  <si>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</si>
  <si>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</si>
  <si>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</si>
  <si>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</si>
  <si>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</si>
  <si>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</si>
  <si>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</si>
  <si>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</si>
  <si>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</si>
  <si>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</si>
  <si>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</si>
  <si>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</si>
  <si>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</si>
  <si>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</si>
  <si>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</si>
  <si>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</si>
  <si>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</si>
  <si>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</si>
  <si>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</si>
  <si>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</si>
  <si>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</si>
  <si>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</si>
  <si>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</si>
  <si>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</si>
  <si>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</si>
  <si>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</si>
  <si>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</si>
  <si>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</si>
  <si>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</si>
  <si>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</si>
  <si>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</si>
  <si>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</si>
  <si>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</si>
  <si>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</si>
  <si>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</si>
  <si>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</si>
  <si>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</si>
  <si>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</si>
  <si>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</si>
  <si>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</si>
  <si>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</si>
  <si>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</si>
  <si>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</si>
  <si>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</si>
  <si>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</si>
  <si>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</si>
  <si>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</si>
  <si>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</si>
  <si>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</si>
  <si>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</si>
  <si>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</si>
  <si>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</si>
  <si>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</si>
  <si>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</si>
  <si>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</si>
  <si>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</si>
  <si>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</si>
  <si>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</si>
  <si>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</si>
  <si>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</si>
  <si>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</si>
  <si>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</si>
  <si>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</si>
  <si>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</si>
  <si>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</si>
  <si>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</si>
  <si>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</si>
  <si>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</si>
  <si>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</si>
  <si>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</si>
  <si>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</si>
  <si>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</si>
  <si>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</si>
  <si>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</si>
  <si>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</si>
  <si>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</si>
  <si>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</si>
  <si>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</si>
  <si>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</si>
  <si>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</si>
  <si>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</si>
  <si>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</si>
  <si>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</si>
  <si>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</si>
  <si>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</si>
  <si>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</si>
  <si>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</si>
  <si>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</si>
  <si>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</si>
  <si>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</si>
  <si>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</si>
  <si>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</si>
  <si>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</si>
  <si>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</si>
  <si>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</si>
  <si>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</si>
  <si>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</si>
  <si>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</si>
  <si>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</si>
  <si>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</si>
  <si>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</si>
  <si>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</si>
  <si>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</si>
  <si>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</si>
  <si>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</si>
  <si>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</si>
  <si>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</si>
  <si>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</si>
  <si>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</si>
  <si>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</si>
  <si>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</si>
  <si>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</si>
  <si>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</si>
  <si>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</si>
  <si>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</si>
  <si>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</si>
  <si>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</si>
  <si>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</si>
  <si>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</si>
  <si>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</si>
  <si>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</si>
  <si>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</si>
  <si>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</si>
  <si>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</si>
  <si>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</si>
  <si>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</si>
  <si>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</si>
  <si>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</si>
  <si>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</si>
  <si>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</si>
  <si>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</si>
  <si>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</si>
  <si>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</si>
  <si>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</si>
  <si>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</si>
  <si>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</si>
  <si>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</si>
  <si>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</si>
  <si>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</si>
  <si>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</si>
  <si>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</si>
  <si>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</si>
  <si>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</si>
  <si>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</si>
  <si>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</si>
  <si>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</si>
  <si>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</si>
  <si>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</si>
  <si>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</si>
  <si>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</si>
  <si>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</si>
  <si>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</si>
  <si>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</si>
  <si>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</si>
  <si>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</si>
  <si>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</si>
  <si>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</si>
  <si>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</si>
  <si>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</si>
  <si>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</si>
  <si>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</si>
  <si>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</si>
  <si>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</si>
  <si>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</si>
  <si>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</si>
  <si>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</si>
  <si>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</si>
  <si>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</si>
  <si>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</si>
  <si>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</si>
  <si>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</si>
  <si>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</si>
  <si>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</si>
  <si>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</si>
  <si>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</si>
  <si>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</si>
  <si>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</si>
  <si>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</si>
  <si>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</si>
  <si>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</si>
  <si>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</si>
  <si>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</si>
  <si>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</si>
  <si>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</si>
  <si>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</si>
  <si>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</si>
  <si>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</si>
  <si>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</si>
  <si>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</si>
  <si>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</si>
  <si>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</si>
  <si>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</si>
  <si>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</si>
  <si>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</si>
  <si>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</si>
  <si>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</si>
  <si>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</si>
  <si>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</si>
  <si>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</si>
  <si>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</si>
  <si>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</si>
  <si>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</si>
  <si>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</si>
  <si>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</si>
  <si>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</si>
  <si>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</si>
  <si>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</si>
  <si>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</si>
  <si>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</si>
  <si>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</si>
  <si>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</si>
  <si>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</si>
  <si>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</si>
  <si>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</si>
  <si>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</si>
  <si>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</si>
  <si>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</si>
  <si>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</si>
  <si>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</si>
  <si>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</si>
  <si>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</si>
  <si>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</si>
  <si>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</si>
  <si>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</si>
  <si>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</si>
  <si>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</si>
  <si>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</si>
  <si>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</si>
  <si>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</si>
  <si>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</si>
  <si>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</si>
  <si>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</si>
  <si>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</si>
  <si>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</si>
  <si>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</si>
  <si>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</si>
  <si>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</si>
  <si>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</si>
  <si>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</si>
  <si>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</si>
  <si>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</si>
  <si>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</si>
  <si>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</si>
  <si>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</si>
  <si>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</si>
  <si>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</si>
  <si>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</si>
  <si>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</si>
  <si>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</si>
  <si>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</si>
  <si>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</si>
  <si>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</si>
  <si>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</si>
  <si>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</si>
  <si>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</si>
  <si>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</si>
  <si>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</si>
  <si>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</si>
  <si>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</si>
  <si>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</si>
  <si>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</si>
  <si>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</si>
  <si>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</si>
  <si>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</si>
  <si>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</si>
  <si>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</si>
  <si>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</si>
  <si>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</si>
  <si>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</si>
  <si>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</si>
  <si>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</si>
  <si>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</si>
  <si>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</si>
  <si>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</si>
  <si>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</si>
  <si>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</si>
  <si>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</si>
  <si>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</si>
  <si>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</si>
  <si>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</si>
  <si>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</si>
  <si>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</si>
  <si>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</si>
  <si>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</si>
  <si>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</si>
  <si>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</si>
  <si>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</si>
  <si>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</si>
  <si>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</si>
  <si>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</si>
  <si>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</si>
  <si>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</si>
  <si>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</si>
  <si>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</si>
  <si>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</si>
  <si>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</si>
  <si>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</si>
  <si>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</si>
  <si>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</si>
  <si>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</si>
  <si>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</si>
  <si>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</si>
  <si>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</si>
  <si>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</si>
  <si>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</si>
  <si>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</si>
  <si>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</si>
  <si>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</si>
  <si>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</si>
  <si>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</si>
  <si>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</si>
  <si>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</si>
  <si>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</si>
  <si>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</si>
  <si>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</si>
  <si>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</si>
  <si>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</si>
  <si>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</si>
  <si>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</si>
  <si>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</si>
  <si>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</si>
  <si>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</si>
  <si>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</si>
  <si>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</si>
  <si>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</si>
  <si>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</si>
  <si>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</si>
  <si>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</si>
  <si>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</si>
  <si>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</si>
  <si>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</si>
  <si>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</si>
  <si>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</si>
  <si>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</si>
  <si>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</si>
  <si>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</si>
  <si>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</si>
  <si>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</si>
  <si>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</si>
  <si>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</si>
  <si>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</si>
  <si>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</si>
  <si>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</si>
  <si>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</si>
  <si>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</si>
  <si>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</si>
  <si>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</si>
  <si>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</si>
  <si>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</si>
  <si>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</si>
  <si>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</si>
  <si>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</si>
  <si>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</si>
  <si>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</si>
  <si>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</si>
  <si>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</si>
  <si>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</si>
  <si>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</si>
  <si>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</si>
  <si>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</si>
  <si>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</si>
  <si>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</si>
  <si>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</si>
  <si>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</si>
  <si>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</si>
  <si>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</si>
  <si>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</si>
  <si>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</si>
  <si>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</si>
  <si>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</si>
  <si>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</si>
  <si>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</si>
  <si>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</si>
  <si>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</si>
  <si>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</si>
  <si>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</si>
  <si>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</si>
  <si>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</si>
  <si>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</si>
  <si>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</si>
  <si>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</si>
  <si>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</si>
  <si>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</si>
  <si>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</si>
  <si>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</si>
  <si>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</si>
  <si>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</si>
  <si>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</si>
  <si>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</si>
  <si>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</si>
  <si>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</si>
  <si>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</si>
  <si>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</si>
  <si>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</si>
  <si>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</si>
  <si>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</si>
  <si>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</si>
  <si>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</si>
  <si>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</si>
  <si>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</si>
  <si>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</si>
  <si>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</si>
  <si>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</si>
  <si>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</si>
  <si>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</si>
  <si>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</si>
  <si>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</si>
  <si>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</si>
  <si>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</si>
  <si>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</si>
  <si>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</si>
  <si>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</si>
  <si>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</si>
  <si>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</si>
  <si>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</si>
  <si>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</si>
  <si>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</si>
  <si>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</si>
  <si>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</si>
  <si>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</si>
  <si>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</si>
  <si>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</si>
  <si>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</si>
  <si>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</si>
  <si>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</si>
  <si>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</si>
  <si>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</si>
  <si>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</si>
  <si>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</si>
  <si>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</si>
  <si>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</si>
  <si>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</si>
  <si>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</si>
  <si>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</si>
  <si>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</si>
  <si>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</si>
  <si>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</si>
  <si>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</si>
  <si>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</si>
  <si>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</si>
  <si>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</si>
  <si>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</si>
  <si>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</si>
  <si>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</si>
  <si>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</si>
  <si>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</si>
  <si>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</si>
  <si>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</si>
  <si>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</si>
  <si>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</si>
  <si>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</si>
  <si>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</si>
  <si>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</si>
  <si>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</si>
  <si>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</si>
  <si>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</si>
  <si>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</si>
  <si>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</si>
  <si>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</si>
  <si>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</si>
  <si>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</si>
  <si>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</si>
  <si>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</si>
  <si>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</si>
  <si>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</si>
  <si>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</si>
  <si>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</si>
  <si>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</si>
  <si>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</si>
  <si>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</si>
  <si>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</si>
  <si>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</si>
  <si>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</si>
  <si>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</si>
  <si>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</si>
  <si>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</si>
  <si>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</si>
  <si>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</si>
  <si>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</si>
  <si>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</si>
  <si>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</si>
  <si>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</si>
  <si>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</si>
  <si>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</si>
  <si>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</si>
  <si>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</si>
  <si>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</si>
  <si>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</si>
  <si>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</si>
  <si>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</si>
  <si>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</si>
  <si>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</si>
  <si>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</si>
  <si>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</si>
  <si>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</si>
  <si>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</si>
  <si>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</si>
  <si>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</si>
  <si>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</si>
  <si>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</si>
  <si>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</si>
  <si>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</si>
  <si>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</si>
  <si>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</si>
  <si>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</si>
  <si>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</si>
  <si>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</si>
  <si>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</si>
  <si>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</si>
  <si>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</si>
  <si>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</si>
  <si>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</si>
  <si>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</si>
  <si>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</si>
  <si>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</si>
  <si>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</si>
  <si>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</si>
  <si>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</si>
  <si>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</si>
  <si>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</si>
  <si>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</si>
  <si>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</si>
  <si>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</si>
  <si>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</si>
  <si>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</si>
  <si>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</si>
  <si>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</si>
  <si>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</si>
  <si>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</si>
  <si>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</si>
  <si>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</si>
  <si>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</si>
  <si>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</si>
  <si>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</si>
  <si>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</si>
  <si>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</si>
  <si>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</si>
  <si>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</si>
  <si>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</si>
  <si>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</si>
  <si>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</si>
  <si>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</si>
  <si>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</si>
  <si>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</si>
  <si>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</si>
  <si>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</si>
  <si>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</si>
  <si>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</si>
  <si>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</si>
  <si>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</si>
  <si>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</si>
  <si>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</si>
  <si>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</si>
  <si>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</si>
  <si>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</si>
  <si>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</si>
  <si>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</si>
  <si>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</si>
  <si>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</si>
  <si>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</si>
  <si>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</si>
  <si>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</si>
  <si>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</si>
  <si>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</si>
  <si>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</si>
  <si>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</si>
  <si>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</si>
  <si>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</si>
  <si>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</si>
  <si>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</si>
  <si>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</si>
  <si>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</si>
  <si>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</si>
  <si>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</si>
  <si>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</si>
  <si>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</si>
  <si>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</si>
  <si>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</si>
  <si>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</si>
  <si>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</si>
  <si>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</si>
  <si>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</si>
  <si>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</si>
  <si>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</si>
  <si>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</si>
  <si>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</si>
  <si>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</si>
  <si>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</si>
  <si>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</si>
  <si>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</si>
  <si>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</si>
  <si>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</si>
  <si>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</si>
  <si>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</si>
  <si>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</si>
  <si>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</si>
  <si>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</si>
  <si>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</si>
  <si>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</si>
  <si>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</si>
  <si>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</si>
  <si>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</si>
  <si>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</si>
  <si>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</si>
  <si>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</si>
  <si>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</si>
  <si>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</si>
  <si>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</si>
  <si>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</si>
  <si>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</si>
  <si>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</si>
  <si>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</si>
  <si>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</si>
  <si>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</si>
  <si>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</si>
  <si>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</si>
  <si>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</si>
  <si>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</si>
  <si>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</si>
  <si>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</si>
  <si>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</si>
  <si>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</si>
  <si>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</si>
  <si>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</si>
  <si>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</si>
  <si>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</si>
  <si>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</si>
  <si>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</si>
  <si>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</si>
  <si>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</si>
  <si>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</si>
  <si>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</si>
  <si>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</si>
  <si>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</si>
  <si>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</si>
  <si>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</si>
  <si>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</si>
  <si>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</si>
  <si>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</si>
  <si>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</si>
  <si>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</si>
  <si>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</si>
  <si>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</si>
  <si>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</si>
  <si>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</si>
  <si>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</si>
  <si>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</si>
  <si>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</si>
  <si>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</si>
  <si>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</si>
  <si>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</si>
  <si>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</si>
  <si>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</si>
  <si>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</si>
  <si>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</si>
  <si>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</si>
  <si>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</si>
  <si>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</si>
  <si>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</si>
  <si>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</si>
  <si>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</si>
  <si>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</si>
  <si>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</si>
  <si>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</si>
  <si>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</si>
  <si>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</si>
  <si>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</si>
  <si>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</si>
  <si>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</si>
  <si>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</si>
  <si>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</si>
  <si>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</si>
  <si>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</si>
  <si>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</si>
  <si>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</si>
  <si>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</si>
  <si>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</si>
  <si>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</si>
  <si>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</si>
  <si>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</si>
  <si>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</si>
  <si>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</si>
  <si>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</si>
  <si>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</si>
  <si>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</si>
  <si>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</si>
  <si>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</si>
  <si>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</si>
  <si>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</si>
  <si>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</si>
  <si>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</si>
  <si>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</si>
  <si>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</si>
  <si>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</si>
  <si>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</si>
  <si>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</si>
  <si>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</si>
  <si>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</si>
  <si>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</si>
  <si>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</si>
  <si>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</si>
  <si>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</si>
  <si>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</si>
  <si>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</si>
  <si>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</si>
  <si>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</si>
  <si>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</si>
  <si>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</si>
  <si>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</si>
  <si>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</si>
  <si>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</si>
  <si>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</si>
  <si>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</si>
  <si>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</si>
  <si>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</si>
  <si>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</si>
  <si>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</si>
  <si>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</si>
  <si>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</si>
  <si>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</si>
  <si>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</si>
  <si>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</si>
  <si>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</si>
  <si>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</si>
  <si>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</si>
  <si>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</si>
  <si>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</si>
  <si>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</si>
  <si>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</si>
  <si>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</si>
  <si>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</si>
  <si>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</si>
  <si>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</si>
  <si>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</si>
  <si>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</si>
  <si>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</si>
  <si>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</si>
  <si>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</si>
  <si>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</si>
  <si>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</si>
  <si>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</si>
  <si>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</si>
  <si>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</si>
  <si>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</si>
  <si>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</si>
  <si>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</si>
  <si>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</si>
  <si>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</si>
  <si>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</si>
  <si>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</si>
  <si>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</si>
  <si>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</si>
  <si>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</si>
  <si>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</si>
  <si>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</si>
  <si>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</si>
  <si>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</si>
  <si>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</si>
  <si>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</si>
  <si>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</si>
  <si>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</si>
  <si>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</si>
  <si>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</si>
  <si>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</si>
  <si>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</si>
  <si>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</si>
  <si>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</si>
  <si>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</si>
  <si>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</si>
  <si>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</si>
  <si>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</si>
  <si>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</si>
  <si>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</si>
  <si>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</si>
  <si>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</si>
  <si>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</si>
  <si>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</si>
  <si>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</si>
  <si>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</si>
  <si>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</si>
  <si>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</si>
  <si>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</si>
  <si>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</si>
  <si>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</si>
  <si>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</si>
  <si>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</si>
  <si>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</si>
  <si>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</si>
  <si>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</si>
  <si>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</si>
  <si>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</si>
  <si>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</si>
  <si>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</si>
  <si>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</si>
  <si>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</si>
  <si>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</si>
  <si>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</si>
  <si>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</si>
  <si>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</si>
  <si>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</si>
  <si>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</si>
  <si>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</si>
  <si>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</si>
  <si>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</si>
  <si>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</si>
  <si>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</si>
  <si>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</si>
  <si>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</si>
  <si>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</si>
  <si>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</si>
  <si>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</si>
  <si>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</si>
  <si>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</si>
  <si>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</si>
  <si>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</si>
  <si>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</si>
  <si>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</si>
  <si>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</si>
  <si>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</si>
  <si>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</si>
  <si>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</si>
  <si>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</si>
  <si>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</si>
  <si>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</si>
  <si>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</si>
  <si>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</si>
  <si>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</si>
  <si>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</si>
  <si>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</si>
  <si>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</si>
  <si>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</si>
  <si>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</si>
  <si>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</si>
  <si>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</si>
  <si>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</si>
  <si>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</si>
  <si>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</si>
  <si>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</si>
  <si>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</si>
  <si>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</si>
  <si>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</si>
  <si>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</si>
  <si>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</si>
  <si>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</si>
  <si>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</si>
  <si>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</si>
  <si>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</si>
  <si>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</si>
  <si>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</si>
  <si>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</si>
  <si>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</si>
  <si>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</si>
  <si>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</si>
  <si>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</si>
  <si>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</si>
  <si>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</si>
  <si>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</si>
  <si>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</si>
  <si>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</si>
  <si>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</si>
  <si>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</si>
  <si>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</si>
  <si>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</si>
  <si>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</si>
  <si>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</si>
  <si>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</si>
  <si>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</si>
  <si>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</si>
  <si>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</si>
  <si>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</si>
  <si>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</si>
  <si>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</si>
  <si>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</si>
  <si>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</si>
  <si>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</si>
  <si>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</si>
  <si>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</si>
  <si>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</si>
  <si>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</si>
  <si>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</si>
  <si>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</si>
  <si>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</si>
  <si>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</si>
  <si>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</si>
  <si>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</si>
  <si>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</si>
  <si>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</si>
  <si>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</si>
  <si>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</si>
  <si>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</si>
  <si>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</si>
  <si>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</si>
  <si>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</si>
  <si>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</si>
  <si>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</si>
  <si>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</si>
  <si>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</si>
  <si>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</si>
  <si>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</si>
  <si>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</si>
  <si>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</si>
  <si>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</si>
  <si>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</si>
  <si>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</si>
  <si>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</si>
  <si>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</si>
  <si>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</si>
  <si>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</si>
  <si>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</si>
  <si>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</si>
  <si>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</si>
  <si>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</si>
  <si>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</si>
  <si>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</si>
  <si>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</si>
  <si>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</si>
  <si>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</si>
  <si>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</si>
  <si>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</si>
  <si>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</si>
  <si>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</si>
  <si>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</si>
  <si>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</si>
  <si>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</si>
  <si>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</si>
  <si>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</si>
  <si>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</si>
  <si>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</si>
  <si>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</si>
  <si>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</si>
  <si>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</si>
  <si>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</si>
  <si>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</si>
  <si>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</si>
  <si>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</si>
  <si>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</si>
  <si>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</si>
  <si>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</si>
  <si>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</si>
  <si>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</si>
  <si>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</si>
  <si>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</si>
  <si>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</si>
  <si>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</si>
  <si>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</si>
  <si>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</si>
  <si>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</si>
  <si>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</si>
  <si>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</si>
  <si>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</si>
  <si>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</si>
  <si>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</si>
  <si>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</si>
  <si>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</si>
  <si>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</si>
  <si>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</si>
  <si>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</si>
  <si>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</si>
  <si>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</si>
  <si>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</si>
  <si>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</si>
  <si>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</si>
  <si>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</si>
  <si>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</si>
  <si>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</si>
  <si>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</si>
  <si>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</si>
  <si>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</si>
  <si>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</si>
  <si>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</si>
  <si>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</si>
  <si>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</si>
  <si>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</si>
  <si>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</si>
  <si>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</si>
  <si>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</si>
  <si>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</si>
  <si>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</si>
  <si>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</si>
  <si>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</si>
  <si>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</si>
  <si>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</si>
  <si>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</si>
  <si>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</si>
  <si>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</si>
  <si>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</si>
  <si>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</si>
  <si>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</si>
  <si>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</si>
  <si>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</si>
  <si>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</si>
  <si>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</si>
  <si>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</si>
  <si>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</si>
  <si>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</si>
  <si>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</si>
  <si>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</si>
  <si>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</si>
  <si>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</si>
  <si>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</si>
  <si>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</si>
  <si>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</si>
  <si>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</si>
  <si>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</si>
  <si>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</si>
  <si>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</si>
  <si>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</si>
  <si>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</si>
  <si>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</si>
  <si>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</si>
  <si>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</si>
  <si>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</si>
  <si>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</si>
  <si>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</si>
  <si>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</si>
  <si>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</si>
  <si>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</si>
  <si>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</si>
  <si>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</si>
  <si>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</si>
  <si>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</si>
  <si>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</si>
  <si>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</si>
  <si>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</si>
  <si>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</si>
  <si>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</si>
  <si>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</si>
  <si>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</si>
  <si>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</si>
  <si>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</si>
  <si>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</si>
  <si>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</si>
  <si>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</si>
  <si>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</si>
  <si>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</si>
  <si>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</si>
  <si>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</si>
  <si>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</si>
  <si>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</si>
  <si>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</si>
  <si>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</si>
  <si>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</si>
  <si>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</si>
  <si>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</si>
  <si>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</si>
  <si>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</si>
  <si>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</si>
  <si>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</si>
  <si>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</si>
  <si>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</si>
  <si>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</si>
  <si>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</si>
  <si>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</si>
  <si>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</si>
  <si>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</si>
  <si>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</si>
  <si>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</si>
  <si>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</si>
  <si>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</si>
  <si>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</si>
  <si>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</si>
  <si>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</si>
  <si>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</si>
  <si>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</si>
  <si>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</si>
  <si>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</si>
  <si>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</si>
  <si>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</si>
  <si>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</si>
  <si>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</si>
  <si>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</si>
  <si>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</si>
  <si>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</si>
  <si>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</si>
  <si>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</si>
  <si>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</si>
  <si>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</si>
  <si>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</si>
  <si>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</si>
  <si>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</si>
  <si>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</si>
  <si>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</si>
  <si>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</si>
  <si>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</si>
  <si>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</si>
  <si>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</si>
  <si>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</si>
  <si>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</si>
  <si>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</si>
  <si>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</si>
  <si>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</si>
  <si>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</si>
  <si>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</si>
  <si>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</si>
  <si>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</si>
  <si>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</si>
  <si>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</si>
  <si>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</si>
  <si>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</si>
  <si>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</si>
  <si>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</si>
  <si>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</si>
  <si>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</si>
  <si>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</si>
  <si>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</si>
  <si>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</si>
  <si>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</si>
  <si>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</si>
  <si>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</si>
  <si>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</si>
  <si>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</si>
  <si>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</si>
  <si>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</si>
  <si>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</si>
  <si>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</si>
  <si>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</si>
  <si>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</si>
  <si>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</si>
  <si>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</si>
  <si>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</si>
  <si>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</si>
  <si>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</si>
  <si>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</si>
  <si>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</si>
  <si>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</si>
  <si>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</si>
  <si>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</si>
  <si>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</si>
  <si>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</si>
  <si>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</si>
  <si>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</si>
  <si>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</si>
  <si>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</si>
  <si>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</si>
  <si>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</si>
  <si>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</si>
  <si>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</si>
  <si>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</si>
  <si>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</si>
  <si>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</si>
  <si>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</si>
  <si>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</si>
  <si>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</si>
  <si>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</si>
  <si>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</si>
  <si>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</si>
  <si>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</si>
  <si>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</si>
  <si>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</si>
  <si>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</si>
  <si>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</si>
  <si>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</si>
  <si>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</si>
  <si>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</si>
  <si>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</si>
  <si>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</si>
  <si>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</si>
  <si>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</si>
  <si>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</si>
  <si>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</si>
  <si>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</si>
  <si>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</si>
  <si>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</si>
  <si>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</si>
  <si>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</si>
  <si>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</si>
  <si>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</si>
  <si>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</si>
  <si>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</si>
  <si>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</si>
  <si>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</si>
  <si>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</si>
  <si>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</si>
  <si>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</si>
  <si>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</si>
  <si>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</si>
  <si>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</si>
  <si>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</si>
  <si>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</si>
  <si>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</si>
  <si>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</si>
  <si>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</si>
  <si>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</si>
  <si>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</si>
  <si>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</si>
  <si>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</si>
  <si>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</si>
  <si>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</si>
  <si>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</si>
  <si>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</si>
  <si>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</si>
  <si>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</si>
  <si>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</si>
  <si>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</si>
  <si>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</si>
  <si>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</si>
  <si>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</si>
  <si>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</si>
  <si>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</si>
  <si>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</si>
  <si>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</si>
  <si>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</si>
  <si>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</si>
  <si>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</si>
  <si>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</si>
  <si>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</si>
  <si>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</si>
  <si>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</si>
  <si>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</si>
  <si>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</si>
  <si>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</si>
  <si>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</si>
  <si>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</si>
  <si>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</si>
  <si>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</si>
  <si>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</si>
  <si>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</si>
  <si>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</si>
  <si>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</si>
  <si>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</si>
  <si>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</si>
  <si>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</si>
  <si>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</si>
  <si>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</si>
  <si>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</si>
  <si>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</si>
  <si>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</si>
  <si>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</si>
  <si>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</si>
  <si>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</si>
  <si>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</si>
  <si>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</si>
  <si>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</si>
  <si>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</si>
  <si>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</si>
  <si>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</si>
  <si>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</si>
  <si>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</si>
  <si>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</si>
  <si>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</si>
  <si>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</si>
  <si>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</si>
  <si>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</si>
  <si>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</si>
  <si>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</si>
  <si>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</si>
  <si>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</si>
  <si>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</si>
  <si>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</si>
  <si>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</si>
  <si>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</si>
  <si>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</si>
  <si>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</si>
  <si>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</si>
  <si>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</si>
  <si>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</si>
  <si>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</si>
  <si>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</si>
  <si>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</si>
  <si>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</si>
  <si>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</si>
  <si>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</si>
  <si>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</si>
  <si>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</si>
  <si>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</si>
  <si>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</si>
  <si>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</si>
  <si>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</si>
  <si>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</si>
  <si>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</si>
  <si>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</si>
  <si>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</si>
  <si>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</si>
  <si>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</si>
  <si>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</si>
  <si>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</si>
  <si>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</si>
  <si>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</si>
  <si>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</si>
  <si>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</si>
  <si>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</si>
  <si>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</si>
  <si>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</si>
  <si>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</si>
  <si>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</si>
  <si>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</si>
  <si>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</si>
  <si>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</si>
  <si>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</si>
  <si>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</si>
  <si>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</si>
  <si>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</si>
  <si>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</si>
  <si>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</si>
  <si>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</si>
  <si>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</si>
  <si>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</si>
  <si>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</si>
  <si>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</si>
  <si>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</si>
  <si>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</si>
  <si>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</si>
  <si>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</si>
  <si>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</si>
  <si>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</si>
  <si>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</si>
  <si>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</si>
  <si>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</si>
  <si>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</si>
  <si>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</si>
  <si>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</si>
  <si>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</si>
  <si>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</si>
  <si>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</si>
  <si>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</si>
  <si>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</si>
  <si>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</si>
  <si>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</si>
  <si>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</si>
  <si>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</si>
  <si>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</si>
  <si>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</si>
  <si>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</si>
  <si>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</si>
  <si>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</si>
  <si>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</si>
  <si>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</si>
  <si>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</si>
  <si>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</si>
  <si>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</si>
  <si>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</si>
  <si>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</si>
  <si>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</si>
  <si>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</si>
  <si>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</si>
  <si>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</si>
  <si>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</si>
  <si>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</si>
  <si>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</si>
  <si>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</si>
  <si>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</si>
  <si>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</si>
  <si>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</si>
  <si>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</si>
  <si>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</si>
  <si>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</si>
  <si>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</si>
  <si>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</si>
  <si>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</si>
  <si>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</si>
  <si>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</si>
  <si>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</si>
  <si>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</si>
  <si>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</si>
  <si>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</si>
  <si>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</si>
  <si>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</si>
  <si>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</si>
  <si>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</si>
  <si>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</si>
  <si>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</si>
  <si>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</si>
  <si>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</si>
  <si>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</si>
  <si>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</si>
  <si>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</si>
  <si>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</si>
  <si>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</si>
  <si>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</si>
  <si>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</si>
  <si>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</si>
  <si>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</si>
  <si>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</si>
  <si>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</si>
  <si>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</si>
  <si>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</si>
  <si>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</si>
  <si>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</si>
  <si>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</si>
  <si>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</si>
  <si>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</si>
  <si>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</si>
  <si>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</si>
  <si>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</si>
  <si>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</si>
  <si>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</si>
  <si>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</si>
  <si>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</si>
  <si>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</si>
  <si>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</si>
  <si>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</si>
  <si>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</si>
  <si>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</si>
  <si>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</si>
  <si>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</si>
  <si>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</si>
  <si>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</si>
  <si>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</si>
  <si>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</si>
  <si>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</si>
  <si>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</si>
  <si>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</si>
  <si>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</si>
  <si>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</si>
  <si>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</si>
  <si>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</si>
  <si>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</si>
  <si>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</si>
  <si>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</si>
  <si>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</si>
  <si>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</si>
  <si>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</si>
  <si>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</si>
  <si>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</si>
  <si>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</si>
  <si>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</si>
  <si>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</si>
  <si>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</si>
  <si>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</si>
  <si>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</si>
  <si>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</si>
  <si>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</si>
  <si>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</si>
  <si>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</si>
  <si>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</si>
  <si>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</si>
  <si>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</si>
  <si>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</si>
  <si>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</si>
  <si>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</si>
  <si>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</si>
  <si>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</si>
  <si>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</si>
  <si>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</si>
  <si>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</si>
  <si>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</si>
  <si>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</si>
  <si>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</si>
  <si>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</si>
  <si>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</si>
  <si>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</si>
  <si>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</si>
  <si>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</si>
  <si>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</si>
  <si>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</si>
  <si>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</si>
  <si>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</si>
  <si>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</si>
  <si>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</si>
  <si>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</si>
  <si>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</si>
  <si>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</si>
  <si>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</si>
  <si>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</si>
  <si>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</si>
  <si>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</si>
  <si>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</si>
  <si>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</si>
  <si>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</si>
  <si>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</si>
  <si>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</si>
  <si>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</si>
  <si>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</si>
  <si>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</si>
  <si>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</si>
  <si>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</si>
  <si>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</si>
  <si>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</si>
  <si>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</si>
  <si>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</si>
  <si>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</si>
  <si>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</si>
  <si>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</si>
  <si>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</si>
  <si>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</si>
  <si>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</si>
  <si>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</si>
  <si>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</si>
  <si>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</si>
  <si>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</si>
  <si>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</si>
  <si>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</si>
  <si>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</si>
  <si>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</si>
  <si>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</si>
  <si>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</si>
  <si>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</si>
  <si>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</si>
  <si>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</si>
  <si>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</si>
  <si>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</si>
  <si>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</si>
  <si>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</si>
  <si>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</si>
  <si>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</si>
  <si>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</si>
  <si>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</si>
  <si>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</si>
  <si>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</si>
  <si>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</si>
  <si>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</si>
  <si>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</si>
  <si>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</si>
  <si>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</si>
  <si>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</si>
  <si>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</si>
  <si>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</si>
  <si>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</si>
  <si>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</si>
  <si>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</si>
  <si>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</si>
  <si>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</si>
  <si>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</si>
  <si>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</si>
  <si>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</si>
  <si>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</si>
  <si>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</si>
  <si>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</si>
  <si>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</si>
  <si>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</si>
  <si>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</si>
  <si>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</si>
  <si>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</si>
  <si>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</si>
  <si>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</si>
  <si>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</si>
  <si>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</si>
  <si>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</si>
  <si>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</si>
  <si>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</si>
  <si>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</si>
  <si>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</si>
  <si>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</si>
  <si>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</si>
  <si>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</si>
  <si>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</si>
  <si>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</si>
  <si>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</si>
  <si>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</si>
  <si>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</si>
  <si>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</si>
  <si>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</si>
  <si>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</si>
  <si>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</si>
  <si>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</si>
  <si>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</si>
  <si>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</si>
  <si>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</si>
  <si>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</si>
  <si>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</si>
  <si>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</si>
  <si>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</si>
  <si>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</si>
  <si>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</si>
  <si>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</si>
  <si>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</si>
  <si>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</si>
  <si>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</si>
  <si>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</si>
  <si>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</si>
  <si>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</si>
  <si>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</si>
  <si>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</si>
  <si>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</si>
  <si>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</si>
  <si>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</si>
  <si>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</si>
  <si>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</si>
  <si>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</si>
  <si>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</si>
  <si>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</si>
  <si>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</si>
  <si>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</si>
  <si>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</si>
  <si>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</si>
  <si>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</si>
  <si>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</si>
  <si>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</si>
  <si>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</si>
  <si>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</si>
  <si>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</si>
  <si>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</si>
  <si>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</si>
  <si>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</si>
  <si>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</si>
  <si>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</si>
  <si>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</si>
  <si>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</si>
  <si>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</si>
  <si>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</si>
  <si>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</si>
  <si>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</si>
  <si>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</si>
  <si>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</si>
  <si>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</si>
  <si>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</si>
  <si>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</si>
  <si>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</si>
  <si>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</si>
  <si>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</si>
  <si>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</si>
  <si>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</si>
  <si>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</si>
  <si>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</si>
  <si>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</si>
  <si>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</si>
  <si>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</si>
  <si>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</si>
  <si>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</si>
  <si>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</si>
  <si>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</si>
  <si>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</si>
  <si>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</si>
  <si>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</si>
  <si>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</si>
  <si>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</si>
  <si>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</si>
  <si>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</si>
  <si>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</si>
  <si>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</si>
  <si>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</si>
  <si>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</si>
  <si>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</si>
  <si>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</si>
  <si>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</si>
  <si>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</si>
  <si>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</si>
  <si>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</si>
  <si>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</si>
  <si>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</si>
  <si>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</si>
  <si>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</si>
  <si>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</si>
  <si>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</si>
  <si>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</si>
  <si>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</si>
  <si>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</si>
  <si>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</si>
  <si>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</si>
  <si>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</si>
  <si>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</si>
  <si>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</si>
  <si>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</si>
  <si>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</si>
  <si>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</si>
  <si>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</si>
  <si>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</si>
  <si>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</si>
  <si>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</si>
  <si>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</si>
  <si>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</si>
  <si>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</si>
  <si>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</si>
  <si>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</si>
  <si>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</si>
  <si>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</si>
  <si>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</si>
  <si>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</si>
  <si>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</si>
  <si>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</si>
  <si>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</si>
  <si>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</si>
  <si>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</si>
  <si>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</si>
  <si>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</si>
  <si>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</si>
  <si>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</si>
  <si>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</si>
  <si>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</si>
  <si>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</si>
  <si>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</si>
  <si>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</si>
  <si>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</si>
  <si>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</si>
  <si>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</si>
  <si>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</si>
  <si>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</si>
  <si>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</si>
  <si>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</si>
  <si>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</si>
  <si>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</si>
  <si>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</si>
  <si>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</si>
  <si>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</si>
  <si>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</si>
  <si>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</si>
  <si>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</si>
  <si>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</si>
  <si>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</si>
  <si>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</si>
  <si>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</si>
  <si>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</si>
  <si>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</si>
  <si>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</si>
  <si>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</si>
  <si>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</si>
  <si>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</si>
  <si>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</si>
  <si>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</si>
  <si>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</si>
  <si>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</si>
  <si>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</si>
  <si>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</si>
  <si>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</si>
  <si>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</si>
  <si>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</si>
  <si>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</si>
  <si>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</si>
  <si>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</si>
  <si>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</si>
  <si>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</si>
  <si>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</si>
  <si>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</si>
  <si>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</si>
  <si>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</si>
  <si>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</si>
  <si>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</si>
  <si>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</si>
  <si>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</si>
  <si>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</si>
  <si>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</si>
  <si>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</si>
  <si>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</si>
  <si>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</si>
  <si>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</si>
  <si>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</si>
  <si>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</si>
  <si>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</si>
  <si>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</si>
  <si>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</si>
  <si>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</si>
  <si>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</si>
  <si>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</si>
  <si>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</si>
  <si>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</si>
  <si>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</si>
  <si>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</si>
  <si>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</si>
  <si>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</si>
  <si>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</si>
  <si>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</si>
  <si>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</si>
  <si>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</si>
  <si>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</si>
  <si>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</si>
  <si>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</si>
  <si>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</si>
  <si>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</si>
  <si>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</si>
  <si>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</si>
  <si>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</si>
  <si>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</si>
  <si>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</si>
  <si>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</si>
  <si>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</si>
  <si>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</si>
  <si>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</si>
  <si>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</si>
  <si>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</si>
  <si>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</si>
  <si>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</si>
  <si>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</si>
  <si>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</si>
  <si>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</si>
  <si>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</si>
  <si>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</si>
  <si>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</si>
  <si>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</si>
  <si>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</si>
  <si>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</si>
  <si>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</si>
  <si>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</si>
  <si>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</si>
  <si>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</si>
  <si>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</si>
  <si>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</si>
  <si>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</si>
  <si>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</si>
  <si>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</si>
  <si>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</si>
  <si>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</si>
  <si>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</si>
  <si>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</si>
  <si>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</si>
  <si>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</si>
  <si>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</si>
  <si>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</si>
  <si>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</si>
  <si>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</si>
  <si>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</si>
  <si>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</si>
  <si>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</si>
  <si>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</si>
  <si>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</si>
  <si>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</si>
  <si>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</si>
  <si>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</si>
  <si>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</si>
  <si>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</si>
  <si>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</si>
  <si>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</si>
  <si>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</si>
  <si>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</si>
  <si>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</si>
  <si>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</si>
  <si>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</si>
  <si>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</si>
  <si>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</si>
  <si>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</si>
  <si>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</si>
  <si>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</si>
  <si>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</si>
  <si>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</si>
  <si>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</si>
  <si>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</si>
  <si>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</si>
  <si>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</si>
  <si>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</si>
  <si>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</si>
  <si>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</si>
  <si>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</si>
  <si>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</si>
  <si>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</si>
  <si>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</si>
  <si>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</si>
  <si>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</si>
  <si>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</si>
  <si>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</si>
  <si>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</si>
  <si>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</si>
  <si>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</si>
  <si>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</si>
  <si>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</si>
  <si>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</si>
  <si>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</si>
  <si>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</si>
  <si>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</si>
  <si>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</si>
  <si>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</si>
  <si>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</si>
  <si>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</si>
  <si>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</si>
  <si>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</si>
  <si>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</si>
  <si>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</si>
  <si>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</si>
  <si>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</si>
  <si>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</si>
  <si>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</si>
  <si>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</si>
  <si>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</si>
  <si>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</si>
  <si>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</si>
  <si>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</si>
  <si>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</si>
  <si>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</si>
  <si>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</si>
  <si>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</si>
  <si>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</si>
  <si>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</si>
  <si>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</si>
  <si>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</si>
  <si>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</si>
  <si>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</si>
  <si>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</si>
  <si>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</si>
  <si>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</si>
  <si>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</si>
  <si>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</si>
  <si>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</si>
  <si>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</si>
  <si>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</si>
  <si>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</si>
  <si>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</si>
  <si>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</si>
  <si>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</si>
  <si>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</si>
  <si>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</si>
  <si>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</si>
  <si>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</si>
  <si>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</si>
  <si>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</si>
  <si>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</si>
  <si>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</si>
  <si>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</si>
  <si>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</si>
  <si>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</si>
  <si>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</si>
  <si>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</si>
  <si>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</si>
  <si>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</si>
  <si>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</si>
  <si>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</si>
  <si>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</si>
  <si>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</si>
  <si>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</si>
  <si>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</si>
  <si>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</si>
  <si>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</si>
  <si>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</si>
  <si>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</si>
  <si>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</si>
  <si>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</si>
  <si>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</si>
  <si>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</si>
  <si>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</si>
  <si>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</si>
  <si>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</si>
  <si>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</si>
  <si>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</si>
  <si>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</si>
  <si>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</si>
  <si>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</si>
  <si>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</si>
  <si>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</si>
  <si>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</si>
  <si>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</si>
  <si>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</si>
  <si>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</si>
  <si>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</si>
  <si>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</si>
  <si>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</si>
  <si>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</si>
  <si>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</si>
  <si>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</si>
  <si>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</si>
  <si>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</si>
  <si>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</si>
  <si>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</si>
  <si>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</si>
  <si>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</si>
  <si>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</si>
  <si>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</si>
  <si>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</si>
  <si>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</si>
  <si>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</si>
  <si>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</si>
  <si>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</si>
  <si>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</si>
  <si>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</si>
  <si>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</si>
  <si>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</si>
  <si>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</si>
  <si>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</si>
  <si>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</si>
  <si>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</si>
  <si>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</si>
  <si>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</si>
  <si>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</si>
  <si>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</si>
  <si>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</si>
  <si>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</si>
  <si>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</si>
  <si>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</si>
  <si>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</si>
  <si>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</si>
  <si>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</si>
  <si>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</si>
  <si>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</si>
  <si>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</si>
  <si>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</si>
  <si>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</si>
  <si>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</si>
  <si>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</si>
  <si>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</si>
  <si>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</si>
  <si>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</si>
  <si>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</si>
  <si>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</si>
  <si>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</si>
  <si>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</si>
  <si>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</si>
  <si>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</si>
  <si>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</si>
  <si>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</si>
  <si>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</si>
  <si>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</si>
  <si>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</si>
  <si>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</si>
  <si>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</si>
  <si>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</si>
  <si>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</si>
  <si>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</si>
  <si>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</si>
  <si>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</si>
  <si>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</si>
  <si>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</si>
  <si>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</si>
  <si>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</si>
  <si>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</si>
  <si>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</si>
  <si>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</si>
  <si>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</si>
  <si>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</si>
  <si>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</si>
  <si>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</si>
  <si>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</si>
  <si>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</si>
  <si>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</si>
  <si>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</si>
  <si>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</si>
  <si>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</si>
  <si>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</si>
  <si>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</si>
  <si>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</si>
  <si>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</si>
  <si>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</si>
  <si>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</si>
  <si>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</si>
  <si>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</si>
  <si>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</si>
  <si>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</si>
  <si>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</si>
  <si>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</si>
  <si>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</si>
  <si>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</si>
  <si>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</si>
  <si>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</si>
  <si>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</si>
  <si>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</si>
  <si>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</si>
  <si>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</si>
  <si>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</si>
  <si>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</si>
  <si>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</si>
  <si>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</si>
  <si>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</si>
  <si>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</si>
  <si>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</si>
  <si>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</si>
  <si>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</si>
  <si>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</si>
  <si>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</si>
  <si>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</si>
  <si>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</si>
  <si>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</si>
  <si>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</si>
  <si>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</si>
  <si>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</si>
  <si>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</si>
  <si>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</si>
  <si>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</si>
  <si>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</si>
  <si>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</si>
  <si>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</si>
  <si>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</si>
  <si>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</si>
  <si>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</si>
  <si>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</si>
  <si>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</si>
  <si>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</si>
  <si>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</si>
  <si>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</si>
  <si>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</si>
  <si>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</si>
  <si>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</si>
  <si>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</si>
  <si>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</si>
  <si>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</si>
  <si>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</si>
  <si>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</si>
  <si>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</si>
  <si>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</si>
  <si>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</si>
  <si>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</si>
  <si>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</si>
  <si>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</si>
  <si>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</si>
  <si>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</si>
  <si>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</si>
  <si>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</si>
  <si>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</si>
  <si>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</si>
  <si>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</si>
  <si>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</si>
  <si>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</si>
  <si>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</si>
  <si>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</si>
  <si>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</si>
  <si>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</si>
  <si>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</si>
  <si>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</si>
  <si>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</si>
  <si>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</si>
  <si>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</si>
  <si>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</si>
  <si>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</si>
  <si>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</si>
  <si>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</si>
  <si>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</si>
  <si>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</si>
  <si>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</si>
  <si>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</si>
  <si>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</si>
  <si>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</si>
  <si>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</si>
  <si>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</si>
  <si>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</si>
  <si>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</si>
  <si>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</si>
  <si>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</si>
  <si>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</si>
  <si>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</si>
  <si>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</si>
  <si>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</si>
  <si>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</si>
  <si>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</si>
  <si>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</si>
  <si>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</si>
  <si>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</si>
  <si>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</si>
  <si>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</si>
  <si>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</si>
  <si>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</si>
  <si>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</si>
  <si>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</si>
  <si>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</si>
  <si>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</si>
  <si>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</si>
  <si>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</si>
  <si>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</si>
  <si>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</si>
  <si>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</si>
  <si>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</si>
  <si>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</si>
  <si>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</si>
  <si>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</si>
  <si>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</si>
  <si>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</si>
  <si>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</si>
  <si>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</si>
  <si>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</si>
  <si>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</si>
  <si>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</si>
  <si>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</si>
  <si>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</si>
  <si>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</si>
  <si>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</si>
  <si>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</si>
  <si>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</si>
  <si>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</si>
  <si>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</si>
  <si>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</si>
  <si>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</si>
  <si>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</si>
  <si>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</si>
  <si>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</si>
  <si>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</si>
  <si>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</si>
  <si>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</si>
  <si>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</si>
  <si>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</si>
  <si>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</si>
  <si>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</si>
  <si>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</si>
  <si>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</si>
  <si>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</si>
  <si>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</si>
  <si>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</si>
  <si>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</si>
  <si>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</si>
  <si>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</si>
  <si>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</si>
  <si>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</si>
  <si>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</si>
  <si>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</si>
  <si>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</si>
  <si>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</si>
  <si>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</si>
  <si>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</si>
  <si>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</si>
  <si>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</si>
  <si>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</si>
  <si>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</si>
  <si>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</si>
  <si>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</si>
  <si>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</si>
  <si>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</si>
  <si>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</si>
  <si>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</si>
  <si>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</si>
  <si>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</si>
  <si>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</si>
  <si>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</si>
  <si>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</si>
  <si>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</si>
  <si>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</si>
  <si>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</si>
  <si>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</si>
  <si>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</si>
  <si>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</si>
  <si>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</si>
  <si>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</si>
  <si>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</si>
  <si>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</si>
  <si>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</si>
  <si>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</si>
  <si>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</si>
  <si>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</si>
  <si>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</si>
  <si>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</si>
  <si>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</si>
  <si>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</si>
  <si>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</si>
  <si>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</si>
  <si>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</si>
  <si>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</si>
  <si>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</si>
  <si>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</si>
  <si>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</si>
  <si>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</si>
  <si>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</si>
  <si>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</si>
  <si>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</si>
  <si>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</si>
  <si>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</si>
  <si>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</si>
  <si>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</si>
  <si>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</si>
  <si>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</si>
  <si>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</si>
  <si>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</si>
  <si>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</si>
  <si>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</si>
  <si>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</si>
  <si>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</si>
  <si>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</si>
  <si>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</si>
  <si>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</si>
  <si>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</si>
  <si>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</si>
  <si>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</si>
  <si>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</si>
  <si>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</si>
  <si>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</si>
  <si>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</si>
  <si>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</si>
  <si>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</si>
  <si>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</si>
  <si>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</si>
  <si>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</si>
  <si>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</si>
  <si>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</si>
  <si>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</si>
  <si>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</si>
  <si>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</si>
  <si>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</si>
  <si>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</si>
  <si>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</si>
  <si>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</si>
  <si>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</si>
  <si>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</si>
  <si>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</si>
  <si>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</si>
  <si>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</si>
  <si>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</si>
  <si>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</si>
  <si>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</si>
  <si>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</si>
  <si>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</si>
  <si>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</si>
  <si>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</si>
  <si>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</si>
  <si>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</si>
  <si>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</si>
  <si>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</si>
  <si>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</si>
  <si>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</si>
  <si>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</si>
  <si>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</si>
  <si>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</si>
  <si>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</si>
  <si>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</si>
  <si>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</si>
  <si>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</si>
  <si>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</si>
  <si>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</si>
  <si>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</si>
  <si>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</si>
  <si>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</si>
  <si>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</si>
  <si>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</si>
  <si>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</si>
  <si>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</si>
  <si>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</si>
  <si>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</si>
  <si>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</si>
  <si>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</si>
  <si>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</si>
  <si>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</si>
  <si>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</si>
  <si>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</si>
  <si>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</si>
  <si>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</si>
  <si>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</si>
  <si>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</si>
  <si>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</si>
  <si>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</si>
  <si>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</si>
  <si>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</si>
  <si>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</si>
  <si>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</si>
  <si>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</si>
  <si>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</si>
  <si>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</si>
  <si>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</si>
  <si>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</si>
  <si>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</si>
  <si>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</si>
  <si>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</si>
  <si>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</si>
  <si>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</si>
  <si>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</si>
  <si>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</si>
  <si>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</si>
  <si>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</si>
  <si>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</si>
  <si>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</si>
  <si>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</si>
  <si>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</si>
  <si>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</si>
  <si>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</si>
  <si>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</si>
  <si>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</si>
  <si>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</si>
  <si>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</si>
  <si>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</si>
  <si>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</si>
  <si>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</si>
  <si>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</si>
  <si>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</si>
  <si>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</si>
  <si>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</si>
  <si>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</si>
  <si>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</si>
  <si>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</si>
  <si>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</si>
  <si>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</si>
  <si>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</si>
  <si>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</si>
  <si>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</si>
  <si>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</si>
  <si>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</si>
  <si>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</si>
  <si>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</si>
  <si>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</si>
  <si>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</si>
  <si>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</si>
  <si>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</si>
  <si>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</si>
  <si>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</si>
  <si>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</si>
  <si>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</si>
  <si>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</si>
  <si>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</si>
  <si>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</si>
  <si>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</si>
  <si>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</si>
  <si>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</si>
  <si>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</si>
  <si>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</si>
  <si>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</si>
  <si>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</si>
  <si>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</si>
  <si>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</si>
  <si>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</si>
  <si>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</si>
  <si>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</si>
  <si>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</si>
  <si>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</si>
  <si>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</si>
  <si>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</si>
  <si>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</si>
  <si>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</si>
  <si>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</si>
  <si>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</si>
  <si>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</si>
  <si>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</si>
  <si>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</si>
  <si>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</si>
  <si>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</si>
  <si>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</si>
  <si>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</si>
  <si>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</si>
  <si>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</si>
  <si>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</si>
  <si>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</si>
  <si>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</si>
  <si>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</si>
  <si>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</si>
  <si>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</si>
  <si>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</si>
  <si>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</si>
  <si>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</si>
  <si>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</si>
  <si>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</si>
  <si>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</si>
  <si>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</si>
  <si>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</si>
  <si>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</si>
  <si>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</si>
  <si>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</si>
  <si>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</si>
  <si>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</si>
  <si>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</si>
  <si>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</si>
  <si>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</si>
  <si>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</si>
  <si>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</si>
  <si>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</si>
  <si>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</si>
  <si>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</si>
  <si>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</si>
  <si>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</si>
  <si>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</si>
  <si>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</si>
  <si>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</si>
  <si>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</si>
  <si>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</si>
  <si>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</si>
  <si>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</si>
  <si>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</si>
  <si>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</si>
  <si>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</si>
  <si>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</si>
  <si>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</si>
  <si>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</si>
  <si>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</si>
  <si>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</si>
  <si>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</si>
  <si>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</si>
  <si>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</si>
  <si>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</si>
  <si>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</si>
  <si>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</si>
  <si>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</si>
  <si>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</si>
  <si>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</si>
  <si>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</si>
  <si>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</si>
  <si>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</si>
  <si>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</si>
  <si>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</si>
  <si>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</si>
  <si>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</si>
  <si>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</si>
  <si>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</si>
  <si>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</si>
  <si>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</si>
  <si>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</si>
  <si>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</si>
  <si>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</si>
  <si>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</si>
  <si>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</si>
  <si>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</si>
  <si>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</si>
  <si>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</si>
  <si>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</si>
  <si>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</si>
  <si>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</si>
  <si>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</si>
  <si>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</si>
  <si>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</si>
  <si>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</si>
  <si>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</si>
  <si>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</si>
  <si>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</si>
  <si>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</si>
  <si>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</si>
  <si>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</si>
  <si>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</si>
  <si>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</si>
  <si>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</si>
  <si>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</si>
  <si>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</si>
  <si>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</si>
  <si>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</si>
  <si>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</si>
  <si>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</si>
  <si>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</si>
  <si>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</si>
  <si>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</si>
  <si>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</si>
  <si>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</si>
  <si>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</si>
  <si>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</si>
  <si>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</si>
  <si>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</si>
  <si>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</si>
  <si>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</si>
  <si>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</si>
  <si>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</si>
  <si>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</si>
  <si>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</si>
  <si>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</si>
  <si>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</si>
  <si>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</si>
  <si>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</si>
  <si>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</si>
  <si>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</si>
  <si>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</si>
  <si>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</si>
  <si>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</si>
  <si>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</si>
  <si>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</si>
  <si>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</si>
  <si>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</si>
  <si>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</si>
  <si>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</si>
  <si>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</si>
  <si>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</si>
  <si>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</si>
  <si>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</si>
  <si>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</si>
  <si>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</si>
  <si>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</si>
  <si>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</si>
  <si>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</si>
  <si>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</si>
  <si>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</si>
  <si>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</si>
  <si>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</si>
  <si>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</si>
  <si>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</si>
  <si>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</si>
  <si>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</si>
  <si>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</si>
  <si>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</si>
  <si>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</si>
  <si>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</si>
  <si>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</si>
  <si>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</si>
  <si>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</si>
  <si>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</si>
  <si>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</si>
  <si>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</si>
  <si>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</si>
  <si>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</si>
  <si>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</si>
  <si>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</si>
  <si>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</si>
  <si>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</si>
  <si>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</si>
  <si>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</si>
  <si>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</si>
  <si>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</si>
  <si>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</si>
  <si>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</si>
  <si>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</si>
  <si>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</si>
  <si>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</si>
  <si>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</si>
  <si>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</si>
  <si>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</si>
  <si>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</si>
  <si>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</si>
  <si>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</si>
  <si>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</si>
  <si>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</si>
  <si>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</si>
  <si>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</si>
  <si>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</si>
  <si>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</si>
  <si>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</si>
  <si>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</si>
  <si>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</si>
  <si>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</si>
  <si>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</si>
  <si>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</si>
  <si>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</si>
  <si>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</si>
  <si>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</si>
  <si>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</si>
  <si>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</si>
  <si>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</si>
  <si>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</si>
  <si>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</si>
  <si>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</si>
  <si>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</si>
  <si>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</si>
  <si>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</si>
  <si>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</si>
  <si>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</si>
  <si>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</si>
  <si>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</si>
  <si>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</si>
  <si>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</si>
  <si>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</si>
  <si>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</si>
  <si>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</si>
  <si>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</si>
  <si>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</si>
  <si>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</si>
  <si>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</si>
  <si>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</si>
  <si>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</si>
  <si>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</si>
  <si>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</si>
  <si>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</si>
  <si>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</si>
  <si>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</si>
  <si>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</si>
  <si>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</si>
  <si>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</si>
  <si>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</si>
  <si>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</si>
  <si>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</si>
  <si>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</si>
  <si>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</si>
  <si>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</si>
  <si>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</si>
  <si>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</si>
  <si>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</si>
  <si>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</si>
  <si>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</si>
  <si>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</si>
  <si>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</si>
  <si>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</si>
  <si>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</si>
  <si>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</si>
  <si>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</si>
  <si>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</si>
  <si>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</si>
  <si>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</si>
  <si>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</si>
  <si>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</si>
  <si>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</si>
  <si>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</si>
  <si>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</si>
  <si>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</si>
  <si>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</si>
  <si>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</si>
  <si>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</si>
  <si>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</si>
  <si>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</si>
  <si>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</si>
  <si>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</si>
  <si>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</si>
  <si>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</si>
  <si>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</si>
  <si>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</si>
  <si>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</si>
  <si>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</si>
  <si>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</si>
  <si>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</si>
  <si>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</si>
  <si>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</si>
  <si>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</si>
  <si>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</si>
  <si>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</si>
  <si>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</si>
  <si>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</si>
  <si>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</si>
  <si>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</si>
  <si>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</si>
  <si>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</si>
  <si>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</si>
  <si>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</si>
  <si>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</si>
  <si>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</si>
  <si>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</si>
  <si>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</si>
  <si>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</si>
  <si>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</si>
  <si>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</si>
  <si>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</si>
  <si>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</si>
  <si>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</si>
  <si>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</si>
  <si>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</si>
  <si>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</si>
  <si>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</si>
  <si>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</si>
  <si>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</si>
  <si>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</si>
  <si>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</si>
  <si>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</si>
  <si>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</si>
  <si>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</si>
  <si>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</si>
  <si>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</si>
  <si>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</si>
  <si>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</si>
  <si>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</si>
  <si>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</si>
  <si>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</si>
  <si>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</si>
  <si>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</si>
  <si>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</si>
  <si>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</si>
  <si>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</si>
  <si>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</si>
  <si>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</si>
  <si>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</si>
  <si>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</si>
  <si>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</si>
  <si>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</si>
  <si>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</si>
  <si>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</si>
  <si>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</si>
  <si>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</si>
  <si>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</si>
  <si>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</si>
  <si>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</si>
  <si>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</si>
  <si>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</si>
  <si>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</si>
  <si>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</si>
  <si>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</si>
  <si>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</si>
  <si>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</si>
  <si>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</si>
  <si>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</si>
  <si>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</si>
  <si>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</si>
  <si>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</si>
  <si>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</si>
  <si>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</si>
  <si>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</si>
  <si>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</si>
  <si>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</si>
  <si>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</si>
  <si>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</si>
  <si>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</si>
  <si>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</si>
  <si>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</si>
  <si>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</si>
  <si>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</si>
  <si>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</si>
  <si>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</si>
  <si>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</si>
  <si>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</si>
  <si>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</si>
  <si>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</si>
  <si>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</si>
  <si>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</si>
  <si>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</si>
  <si>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</si>
  <si>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</si>
  <si>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</si>
  <si>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</si>
  <si>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</si>
  <si>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</si>
  <si>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</si>
  <si>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</si>
  <si>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</si>
  <si>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</si>
  <si>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</si>
  <si>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</si>
  <si>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</si>
  <si>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</si>
  <si>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</si>
  <si>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</si>
  <si>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</si>
  <si>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</si>
  <si>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</si>
  <si>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</si>
  <si>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</si>
  <si>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</si>
  <si>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</si>
  <si>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</si>
  <si>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</si>
  <si>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</si>
  <si>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</si>
  <si>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</si>
  <si>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</si>
  <si>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</si>
  <si>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</si>
  <si>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</si>
  <si>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</si>
  <si>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</si>
  <si>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</si>
  <si>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</si>
  <si>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</si>
  <si>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</si>
  <si>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</si>
  <si>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</si>
  <si>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</si>
  <si>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</si>
  <si>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</si>
  <si>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</si>
  <si>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</si>
  <si>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</si>
  <si>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</si>
  <si>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</si>
  <si>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</si>
  <si>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</si>
  <si>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</si>
  <si>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</si>
  <si>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</si>
  <si>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</si>
  <si>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</si>
  <si>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</si>
  <si>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</si>
  <si>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</si>
  <si>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</si>
  <si>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</si>
  <si>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</si>
  <si>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</si>
  <si>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</si>
  <si>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</si>
  <si>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</si>
  <si>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</si>
  <si>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</si>
  <si>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</si>
  <si>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</si>
  <si>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</si>
  <si>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</si>
  <si>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</si>
  <si>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</si>
  <si>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</si>
  <si>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</si>
  <si>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</si>
  <si>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</si>
  <si>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</si>
  <si>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</si>
  <si>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</si>
  <si>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</si>
  <si>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</si>
  <si>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</si>
  <si>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</si>
  <si>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</si>
  <si>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</si>
  <si>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</si>
  <si>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</si>
  <si>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</si>
  <si>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</si>
  <si>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</si>
  <si>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</si>
  <si>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</si>
  <si>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</si>
  <si>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</si>
  <si>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</si>
  <si>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</si>
  <si>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</si>
  <si>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</si>
  <si>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</si>
  <si>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</si>
  <si>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</si>
  <si>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</si>
  <si>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</si>
  <si>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</si>
  <si>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</si>
  <si>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</si>
  <si>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</si>
  <si>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</si>
  <si>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</si>
  <si>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</si>
  <si>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</si>
  <si>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</si>
  <si>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</si>
  <si>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</si>
  <si>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</si>
  <si>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</si>
  <si>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</si>
  <si>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</si>
  <si>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</si>
  <si>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</si>
  <si>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</si>
  <si>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</si>
  <si>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</si>
  <si>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</si>
  <si>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</si>
  <si>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</si>
  <si>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</si>
  <si>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</si>
  <si>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</si>
  <si>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</si>
  <si>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</si>
  <si>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</si>
  <si>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</si>
  <si>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</si>
  <si>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</si>
  <si>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</si>
  <si>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</si>
  <si>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</si>
  <si>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</si>
  <si>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</si>
  <si>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</si>
  <si>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</si>
  <si>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</si>
  <si>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</si>
  <si>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</si>
  <si>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</si>
  <si>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</si>
  <si>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</si>
  <si>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</si>
  <si>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</si>
  <si>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</si>
  <si>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</si>
  <si>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</si>
  <si>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</si>
  <si>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</si>
  <si>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</si>
  <si>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</si>
  <si>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</si>
  <si>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</si>
  <si>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</si>
  <si>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</si>
  <si>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</si>
  <si>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</si>
  <si>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</si>
  <si>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</si>
  <si>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</si>
  <si>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</si>
  <si>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</si>
  <si>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</si>
  <si>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</si>
  <si>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</si>
  <si>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</si>
  <si>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</si>
  <si>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</si>
  <si>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</si>
  <si>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</si>
  <si>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</si>
  <si>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</si>
  <si>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</si>
  <si>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</si>
  <si>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</si>
  <si>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</si>
  <si>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</si>
  <si>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</si>
  <si>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</si>
  <si>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</si>
  <si>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</si>
  <si>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</si>
  <si>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</si>
  <si>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</si>
  <si>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</si>
  <si>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</si>
  <si>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</si>
  <si>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</si>
  <si>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</si>
  <si>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</si>
  <si>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</si>
  <si>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</si>
  <si>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</si>
  <si>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</si>
  <si>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</si>
  <si>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</si>
  <si>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</si>
  <si>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</si>
  <si>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</si>
  <si>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</si>
  <si>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</si>
  <si>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</si>
  <si>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</si>
  <si>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</si>
  <si>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</si>
  <si>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</si>
  <si>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</si>
  <si>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</si>
  <si>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</si>
  <si>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</si>
  <si>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</si>
  <si>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</si>
  <si>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</si>
  <si>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</si>
  <si>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</si>
  <si>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</si>
  <si>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</si>
  <si>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</si>
  <si>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</si>
  <si>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</si>
  <si>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</si>
  <si>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</si>
  <si>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</si>
  <si>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</si>
  <si>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</si>
  <si>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</si>
  <si>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</si>
  <si>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</si>
  <si>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</si>
  <si>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</si>
  <si>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</si>
  <si>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</si>
  <si>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</si>
  <si>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</si>
  <si>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</si>
  <si>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</si>
  <si>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</si>
  <si>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</si>
  <si>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</si>
  <si>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</si>
  <si>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</si>
  <si>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</si>
  <si>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</si>
  <si>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</si>
  <si>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</si>
  <si>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</si>
  <si>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</si>
  <si>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</si>
  <si>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</si>
  <si>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</si>
  <si>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</si>
  <si>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</si>
  <si>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</si>
  <si>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</si>
  <si>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</si>
  <si>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</si>
  <si>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</si>
  <si>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</si>
  <si>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</si>
  <si>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</si>
  <si>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</si>
  <si>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</si>
  <si>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</si>
  <si>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</si>
  <si>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</si>
  <si>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</si>
  <si>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</si>
  <si>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</si>
  <si>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</si>
  <si>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</si>
  <si>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</si>
  <si>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</si>
  <si>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</si>
  <si>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</si>
  <si>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</si>
  <si>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</si>
  <si>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</si>
  <si>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</si>
  <si>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</si>
  <si>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</si>
  <si>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</si>
  <si>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</si>
  <si>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</si>
  <si>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</si>
  <si>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</si>
  <si>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</si>
  <si>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</si>
  <si>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</si>
  <si>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</si>
  <si>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</si>
  <si>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</si>
  <si>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</si>
  <si>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</si>
  <si>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</si>
  <si>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</si>
  <si>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</si>
  <si>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</si>
  <si>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</si>
  <si>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</si>
  <si>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</si>
  <si>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</si>
  <si>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</si>
  <si>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</si>
  <si>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</si>
  <si>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</si>
  <si>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</si>
  <si>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</si>
  <si>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</si>
  <si>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</si>
  <si>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</si>
  <si>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</si>
  <si>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</si>
  <si>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</si>
  <si>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</si>
  <si>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</si>
  <si>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</si>
  <si>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</si>
  <si>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</si>
  <si>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</si>
  <si>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</si>
  <si>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</si>
  <si>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</si>
  <si>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</si>
  <si>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</si>
  <si>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</si>
  <si>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</si>
  <si>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</si>
  <si>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</si>
  <si>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</si>
  <si>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</si>
  <si>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</si>
  <si>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</si>
  <si>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</si>
  <si>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</si>
  <si>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</si>
  <si>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</si>
  <si>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</si>
  <si>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</si>
  <si>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</si>
  <si>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</si>
  <si>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</si>
  <si>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</si>
  <si>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</si>
  <si>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</si>
  <si>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</si>
  <si>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</si>
  <si>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</si>
  <si>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</si>
  <si>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</si>
  <si>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</si>
  <si>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</si>
  <si>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</si>
  <si>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</si>
  <si>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</si>
  <si>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</si>
  <si>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</si>
  <si>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</si>
  <si>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</si>
  <si>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</si>
  <si>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</si>
  <si>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</si>
  <si>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</si>
  <si>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</si>
  <si>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</si>
  <si>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</si>
  <si>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</si>
  <si>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</si>
  <si>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</si>
  <si>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</si>
  <si>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</si>
  <si>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</si>
  <si>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</si>
  <si>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</si>
  <si>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</si>
  <si>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</si>
  <si>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</si>
  <si>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</si>
  <si>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</si>
  <si>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</si>
  <si>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</si>
  <si>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</si>
  <si>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</si>
  <si>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</si>
  <si>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</si>
  <si>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</si>
  <si>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</si>
  <si>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</si>
  <si>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</si>
  <si>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</si>
  <si>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</si>
  <si>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</si>
  <si>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</si>
  <si>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</si>
  <si>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</si>
  <si>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</si>
  <si>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</si>
  <si>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</si>
  <si>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</si>
  <si>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</si>
  <si>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</si>
  <si>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</si>
  <si>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</si>
  <si>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</si>
  <si>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</si>
  <si>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</si>
  <si>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</si>
  <si>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</si>
  <si>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</si>
  <si>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</si>
  <si>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</si>
  <si>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</si>
  <si>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</si>
  <si>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</si>
  <si>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</si>
  <si>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</si>
  <si>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</si>
  <si>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</si>
  <si>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</si>
  <si>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</si>
  <si>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</si>
  <si>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</si>
  <si>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</si>
  <si>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</si>
  <si>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</si>
  <si>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</si>
  <si>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</si>
  <si>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</si>
  <si>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</si>
  <si>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</si>
  <si>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</si>
  <si>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</si>
  <si>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</si>
  <si>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</si>
  <si>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</si>
  <si>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</si>
  <si>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</si>
  <si>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</si>
  <si>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</si>
  <si>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</si>
  <si>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</si>
  <si>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</si>
  <si>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</si>
  <si>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</si>
  <si>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</si>
  <si>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</si>
  <si>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</si>
  <si>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</si>
  <si>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</si>
  <si>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</si>
  <si>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</si>
  <si>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</si>
  <si>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</si>
  <si>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</si>
  <si>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</si>
  <si>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</si>
  <si>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</si>
  <si>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</si>
  <si>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</si>
  <si>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</si>
  <si>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</si>
  <si>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</si>
  <si>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</si>
  <si>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</si>
  <si>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</si>
  <si>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</si>
  <si>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</si>
  <si>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</si>
  <si>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</si>
  <si>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</si>
  <si>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</si>
  <si>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</si>
  <si>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</si>
  <si>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</si>
  <si>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</si>
  <si>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</si>
  <si>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</si>
  <si>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</si>
  <si>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</si>
  <si>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</si>
  <si>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</si>
  <si>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</si>
  <si>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</si>
  <si>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</si>
  <si>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</si>
  <si>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</si>
  <si>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</si>
  <si>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</si>
  <si>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</si>
  <si>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</si>
  <si>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</si>
  <si>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</si>
  <si>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</si>
  <si>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</si>
  <si>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</si>
  <si>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</si>
  <si>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</si>
  <si>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</si>
  <si>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</si>
  <si>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</si>
  <si>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</si>
  <si>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</si>
  <si>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</si>
  <si>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</si>
  <si>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</si>
  <si>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</si>
  <si>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</si>
  <si>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</si>
  <si>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</si>
  <si>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</si>
  <si>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</si>
  <si>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</si>
  <si>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</si>
  <si>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</si>
  <si>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</si>
  <si>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</si>
  <si>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</si>
  <si>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</si>
  <si>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</si>
  <si>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</si>
  <si>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</si>
  <si>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</si>
  <si>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</si>
  <si>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</si>
  <si>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</si>
  <si>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</si>
  <si>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</si>
  <si>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</si>
  <si>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</si>
  <si>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</si>
  <si>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</si>
  <si>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</si>
  <si>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</si>
  <si>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</si>
  <si>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</si>
  <si>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</si>
  <si>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</si>
  <si>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</si>
  <si>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</si>
  <si>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</si>
  <si>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</si>
  <si>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</si>
  <si>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</si>
  <si>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</si>
  <si>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</si>
  <si>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</si>
  <si>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</si>
  <si>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</si>
  <si>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</si>
  <si>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</si>
  <si>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</si>
  <si>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</si>
  <si>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</si>
  <si>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</si>
  <si>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</si>
  <si>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</si>
  <si>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</si>
  <si>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</si>
  <si>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</si>
  <si>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</si>
  <si>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</si>
  <si>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</si>
  <si>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</si>
  <si>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</si>
  <si>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</si>
  <si>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</si>
  <si>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</si>
  <si>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</si>
  <si>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</si>
  <si>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</si>
  <si>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</si>
  <si>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</si>
  <si>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</si>
  <si>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</si>
  <si>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</si>
  <si>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</si>
  <si>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</si>
  <si>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</si>
  <si>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</si>
  <si>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</si>
  <si>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</si>
  <si>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</si>
  <si>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</si>
  <si>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</si>
  <si>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</si>
  <si>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</si>
  <si>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</si>
  <si>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</si>
  <si>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</si>
  <si>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</si>
  <si>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</si>
  <si>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</si>
  <si>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</si>
  <si>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</si>
  <si>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</si>
  <si>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</si>
  <si>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</si>
  <si>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</si>
  <si>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</si>
  <si>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</si>
  <si>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</si>
  <si>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</si>
  <si>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</si>
  <si>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</si>
  <si>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</si>
  <si>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</si>
  <si>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</si>
  <si>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</si>
  <si>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</si>
  <si>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</si>
  <si>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</si>
  <si>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</si>
  <si>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</si>
  <si>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</si>
  <si>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</si>
  <si>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</si>
  <si>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</si>
  <si>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</si>
  <si>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</si>
  <si>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</si>
  <si>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</si>
  <si>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</si>
  <si>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</si>
  <si>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</si>
  <si>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</si>
  <si>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</si>
  <si>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</si>
  <si>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</si>
  <si>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</si>
  <si>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</si>
  <si>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</si>
  <si>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</si>
  <si>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</si>
  <si>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</si>
  <si>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</si>
  <si>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</si>
  <si>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</si>
  <si>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</si>
  <si>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</si>
  <si>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</si>
  <si>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</si>
  <si>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</si>
  <si>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</si>
  <si>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</si>
  <si>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</si>
  <si>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</si>
  <si>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</si>
  <si>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</si>
  <si>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</si>
  <si>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</si>
  <si>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</si>
  <si>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</si>
  <si>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</si>
  <si>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</si>
  <si>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</si>
  <si>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</si>
  <si>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</si>
  <si>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</si>
  <si>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</si>
  <si>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</si>
  <si>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</si>
  <si>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</si>
  <si>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</si>
  <si>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</si>
  <si>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</si>
  <si>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</si>
  <si>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</si>
  <si>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</si>
  <si>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</si>
  <si>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</si>
  <si>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</si>
  <si>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</si>
  <si>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</si>
  <si>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</si>
  <si>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</si>
  <si>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</si>
  <si>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</si>
  <si>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</si>
  <si>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</si>
  <si>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</si>
  <si>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</si>
  <si>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</si>
  <si>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</si>
  <si>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</si>
  <si>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</si>
  <si>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</si>
  <si>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</si>
  <si>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</si>
  <si>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</si>
  <si>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</si>
  <si>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</si>
  <si>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</si>
  <si>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</si>
  <si>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</si>
  <si>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</si>
  <si>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</si>
  <si>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</si>
  <si>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</si>
  <si>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</si>
  <si>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</si>
  <si>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</si>
  <si>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</si>
  <si>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</si>
  <si>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</si>
  <si>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</si>
  <si>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</si>
  <si>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</si>
  <si>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</si>
  <si>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</si>
  <si>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</si>
  <si>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</si>
  <si>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</si>
  <si>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</si>
  <si>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</si>
  <si>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</si>
  <si>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</si>
  <si>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</si>
  <si>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</si>
  <si>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</si>
  <si>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</si>
  <si>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</si>
  <si>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</si>
  <si>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</si>
  <si>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</si>
  <si>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</si>
  <si>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</si>
  <si>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</si>
  <si>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</si>
  <si>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</si>
  <si>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</si>
  <si>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</si>
  <si>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</si>
  <si>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</si>
  <si>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</si>
  <si>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</si>
  <si>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</si>
  <si>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</si>
  <si>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</si>
  <si>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</si>
  <si>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</si>
  <si>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</si>
  <si>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</si>
  <si>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</si>
  <si>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</si>
  <si>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</si>
  <si>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</si>
  <si>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</si>
  <si>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</si>
  <si>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</si>
  <si>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</si>
  <si>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</si>
  <si>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</si>
  <si>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</si>
  <si>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</si>
  <si>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</si>
  <si>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</si>
  <si>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</si>
  <si>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</si>
  <si>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</si>
  <si>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</si>
  <si>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</si>
  <si>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</si>
  <si>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</si>
  <si>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</si>
  <si>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</si>
  <si>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</si>
  <si>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</si>
  <si>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</si>
  <si>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</si>
  <si>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</si>
  <si>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</si>
  <si>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</si>
  <si>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</si>
  <si>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</si>
  <si>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</si>
  <si>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</si>
  <si>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</si>
  <si>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</si>
  <si>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</si>
  <si>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</si>
  <si>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</si>
  <si>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</si>
  <si>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</si>
  <si>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</si>
  <si>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</si>
  <si>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</si>
  <si>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</si>
  <si>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</si>
  <si>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</si>
  <si>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</si>
  <si>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</si>
  <si>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</si>
  <si>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</si>
  <si>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</si>
  <si>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</si>
  <si>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</si>
  <si>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</si>
  <si>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</si>
  <si>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</si>
  <si>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</si>
  <si>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</si>
  <si>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</si>
  <si>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</si>
  <si>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</si>
  <si>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</si>
  <si>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</si>
  <si>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</si>
  <si>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</si>
  <si>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</si>
  <si>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</si>
  <si>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</si>
  <si>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</si>
  <si>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</si>
  <si>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</si>
  <si>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</si>
  <si>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</si>
  <si>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</si>
  <si>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</si>
  <si>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</si>
  <si>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</si>
  <si>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</si>
  <si>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</si>
  <si>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</si>
  <si>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</si>
  <si>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</si>
  <si>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</si>
  <si>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</si>
  <si>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</si>
  <si>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</si>
  <si>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</si>
  <si>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</si>
  <si>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</si>
  <si>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</si>
  <si>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</si>
  <si>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</si>
  <si>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</si>
  <si>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</si>
  <si>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</si>
  <si>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</si>
  <si>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</si>
  <si>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</si>
  <si>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</si>
  <si>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</si>
  <si>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</si>
  <si>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</si>
  <si>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</si>
  <si>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</si>
  <si>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</si>
  <si>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</si>
  <si>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</si>
  <si>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</si>
  <si>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</si>
  <si>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</si>
  <si>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</si>
  <si>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</si>
  <si>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</si>
  <si>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</si>
  <si>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</si>
  <si>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</si>
  <si>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</si>
  <si>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</si>
  <si>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</si>
  <si>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</si>
  <si>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</si>
  <si>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</si>
  <si>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</si>
  <si>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</si>
  <si>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</si>
  <si>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</si>
  <si>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</si>
  <si>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</si>
  <si>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</si>
  <si>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</si>
  <si>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</si>
  <si>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</si>
  <si>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</si>
  <si>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</si>
  <si>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</si>
  <si>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</si>
  <si>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</si>
  <si>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</si>
  <si>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</si>
  <si>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</si>
  <si>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</si>
  <si>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</si>
  <si>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</si>
  <si>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</si>
  <si>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</si>
  <si>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</si>
  <si>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</si>
  <si>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</si>
  <si>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</si>
  <si>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</si>
  <si>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</si>
  <si>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</si>
  <si>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</si>
  <si>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</si>
  <si>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</si>
  <si>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</si>
  <si>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</si>
  <si>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</si>
  <si>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</si>
  <si>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</si>
  <si>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</si>
  <si>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</si>
  <si>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</si>
  <si>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</si>
  <si>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</si>
  <si>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</si>
  <si>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</si>
  <si>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</si>
  <si>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</si>
  <si>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</si>
  <si>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</si>
  <si>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</si>
  <si>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</si>
  <si>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</si>
  <si>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</si>
  <si>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</si>
  <si>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</si>
  <si>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</si>
  <si>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</si>
  <si>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</si>
  <si>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</si>
  <si>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</si>
  <si>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</si>
  <si>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</si>
  <si>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</si>
  <si>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</si>
  <si>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</si>
  <si>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</si>
  <si>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</si>
  <si>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</si>
  <si>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</si>
  <si>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</si>
  <si>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</si>
  <si>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</si>
  <si>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</si>
  <si>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</si>
  <si>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</si>
  <si>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</si>
  <si>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</si>
  <si>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</si>
  <si>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</si>
  <si>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</si>
  <si>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</si>
  <si>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</si>
  <si>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</si>
  <si>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</si>
  <si>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</si>
  <si>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</si>
  <si>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</si>
  <si>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</si>
  <si>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</si>
  <si>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</si>
  <si>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</si>
  <si>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</si>
  <si>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</si>
  <si>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</si>
  <si>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</si>
  <si>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</si>
  <si>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</si>
  <si>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</si>
  <si>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</si>
  <si>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</si>
  <si>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</si>
  <si>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</si>
  <si>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</si>
  <si>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</si>
  <si>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</si>
  <si>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</si>
  <si>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</si>
  <si>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</si>
  <si>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</si>
  <si>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</si>
  <si>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</si>
  <si>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</si>
  <si>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</si>
  <si>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</si>
  <si>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</si>
  <si>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</si>
  <si>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</si>
  <si>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</si>
  <si>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</si>
  <si>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</si>
  <si>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</si>
  <si>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</si>
  <si>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</si>
  <si>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</si>
  <si>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</si>
  <si>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</si>
  <si>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</si>
  <si>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</si>
  <si>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</si>
  <si>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</si>
  <si>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</si>
  <si>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</si>
  <si>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</si>
  <si>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</si>
  <si>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</si>
  <si>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</si>
  <si>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</si>
  <si>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</si>
  <si>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</si>
  <si>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</si>
  <si>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</si>
  <si>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</si>
  <si>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</si>
  <si>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</si>
  <si>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</si>
  <si>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</si>
  <si>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</si>
  <si>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</si>
  <si>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</si>
  <si>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</si>
  <si>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</si>
  <si>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</si>
  <si>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</si>
  <si>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</si>
  <si>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</si>
  <si>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</si>
  <si>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</si>
  <si>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</si>
  <si>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</si>
  <si>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</si>
  <si>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</si>
  <si>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</si>
  <si>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</si>
  <si>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</si>
  <si>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</si>
  <si>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</si>
  <si>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</si>
  <si>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</si>
  <si>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</si>
  <si>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</si>
  <si>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</si>
  <si>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</si>
  <si>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</si>
  <si>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</si>
  <si>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</si>
  <si>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</si>
  <si>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</si>
  <si>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</si>
  <si>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</si>
  <si>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</si>
  <si>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</si>
  <si>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</si>
  <si>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</si>
  <si>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</si>
  <si>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</si>
  <si>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</si>
  <si>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</si>
  <si>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</si>
  <si>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</si>
  <si>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</si>
  <si>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</si>
  <si>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</si>
  <si>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</si>
  <si>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</si>
  <si>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</si>
  <si>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</si>
  <si>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</si>
  <si>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</si>
  <si>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</si>
  <si>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</si>
  <si>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</si>
  <si>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</si>
  <si>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</si>
  <si>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</si>
  <si>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</si>
  <si>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</si>
  <si>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</si>
  <si>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</si>
  <si>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</si>
  <si>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</si>
  <si>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</si>
  <si>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</si>
  <si>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</si>
  <si>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</si>
  <si>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</si>
  <si>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</si>
  <si>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</si>
  <si>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</si>
  <si>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</si>
  <si>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</si>
  <si>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</si>
  <si>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</si>
  <si>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</si>
  <si>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</si>
  <si>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</si>
  <si>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</si>
  <si>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</si>
  <si>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</si>
  <si>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</si>
  <si>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</si>
  <si>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</si>
  <si>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</si>
  <si>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</si>
  <si>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</si>
  <si>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</si>
  <si>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</si>
  <si>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</si>
  <si>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</si>
  <si>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</si>
  <si>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</si>
  <si>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</si>
  <si>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</si>
  <si>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</si>
  <si>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</si>
  <si>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</si>
  <si>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</si>
  <si>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</si>
  <si>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</si>
  <si>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</si>
  <si>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</si>
  <si>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</si>
  <si>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</si>
  <si>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</si>
  <si>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</si>
  <si>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</si>
  <si>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</si>
  <si>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</si>
  <si>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</si>
  <si>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</si>
  <si>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</si>
  <si>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</si>
  <si>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</si>
  <si>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</si>
  <si>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</si>
  <si>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</si>
  <si>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</si>
  <si>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</si>
  <si>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</si>
  <si>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</si>
  <si>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</si>
  <si>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</si>
  <si>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</si>
  <si>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</si>
  <si>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</si>
  <si>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</si>
  <si>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</si>
  <si>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</si>
  <si>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</si>
  <si>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</si>
  <si>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</si>
  <si>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</si>
  <si>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</si>
  <si>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</si>
  <si>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</si>
  <si>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</si>
  <si>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</si>
  <si>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</si>
  <si>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</si>
  <si>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</si>
  <si>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</si>
  <si>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</si>
  <si>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</si>
  <si>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</si>
  <si>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</si>
  <si>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</si>
  <si>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</si>
  <si>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</si>
  <si>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</si>
  <si>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</si>
  <si>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</si>
  <si>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</si>
  <si>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</si>
  <si>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</si>
  <si>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</si>
  <si>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</si>
  <si>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</si>
  <si>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</si>
  <si>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</si>
  <si>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</si>
  <si>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</si>
  <si>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</si>
  <si>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</si>
  <si>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</si>
  <si>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</si>
  <si>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</si>
  <si>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</si>
  <si>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</si>
  <si>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</si>
  <si>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</si>
  <si>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</si>
  <si>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</si>
  <si>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</si>
  <si>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</si>
  <si>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</si>
  <si>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</si>
  <si>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</si>
  <si>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</si>
  <si>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</si>
  <si>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</si>
  <si>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</si>
  <si>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</si>
  <si>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</si>
  <si>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</si>
  <si>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</si>
  <si>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</si>
  <si>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</si>
  <si>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</si>
  <si>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</si>
  <si>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</si>
  <si>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</si>
  <si>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</si>
  <si>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</si>
  <si>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</si>
  <si>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</si>
  <si>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</si>
  <si>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</si>
  <si>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</si>
  <si>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</si>
  <si>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</si>
  <si>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</si>
  <si>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</si>
  <si>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</si>
  <si>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</si>
  <si>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</si>
  <si>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</si>
  <si>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</si>
  <si>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</si>
  <si>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</si>
  <si>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</si>
  <si>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</si>
  <si>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</si>
  <si>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</si>
  <si>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</si>
  <si>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</si>
  <si>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</si>
  <si>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</si>
  <si>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</si>
  <si>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</si>
  <si>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</si>
  <si>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</si>
  <si>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</si>
  <si>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</si>
  <si>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</si>
  <si>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</si>
  <si>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</si>
  <si>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</si>
  <si>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</si>
  <si>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</si>
  <si>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</si>
  <si>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</si>
  <si>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</si>
  <si>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</si>
  <si>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</si>
  <si>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</si>
  <si>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</si>
  <si>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</si>
  <si>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</si>
  <si>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</si>
  <si>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</si>
  <si>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</si>
  <si>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</si>
  <si>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</si>
  <si>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</si>
  <si>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</si>
  <si>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</si>
  <si>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</si>
  <si>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</si>
  <si>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</si>
  <si>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</si>
  <si>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</si>
  <si>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</si>
  <si>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</si>
  <si>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</si>
  <si>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</si>
  <si>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</si>
  <si>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</si>
  <si>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</si>
  <si>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</si>
  <si>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</si>
  <si>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</si>
  <si>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</si>
  <si>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</si>
  <si>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</si>
  <si>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</si>
  <si>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</si>
  <si>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</si>
  <si>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</si>
  <si>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</si>
  <si>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</si>
  <si>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</si>
  <si>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</si>
  <si>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</si>
  <si>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</si>
  <si>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</si>
  <si>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</si>
  <si>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</si>
  <si>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</si>
  <si>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</si>
  <si>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</si>
  <si>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</si>
  <si>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</si>
  <si>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</si>
  <si>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</si>
  <si>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</si>
  <si>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</si>
  <si>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</si>
  <si>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</si>
  <si>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</si>
  <si>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</si>
  <si>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</si>
  <si>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</si>
  <si>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</si>
  <si>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</si>
  <si>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</si>
  <si>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</si>
  <si>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</si>
  <si>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</si>
  <si>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</si>
  <si>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</si>
  <si>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</si>
  <si>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</si>
  <si>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</si>
  <si>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</si>
  <si>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</si>
  <si>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</si>
  <si>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</si>
  <si>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</si>
  <si>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</si>
  <si>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</si>
  <si>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</si>
  <si>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</si>
  <si>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</si>
  <si>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</si>
  <si>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</si>
  <si>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</si>
  <si>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</si>
  <si>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</si>
  <si>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</si>
  <si>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</si>
  <si>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</si>
  <si>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</si>
  <si>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</si>
  <si>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</si>
  <si>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</si>
  <si>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</si>
  <si>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</si>
  <si>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</si>
  <si>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</si>
  <si>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</si>
  <si>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</si>
  <si>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</si>
  <si>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</si>
  <si>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</si>
  <si>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</si>
  <si>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</si>
  <si>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</si>
  <si>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</si>
  <si>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</si>
  <si>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</si>
  <si>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</si>
  <si>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</si>
  <si>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</si>
  <si>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</si>
  <si>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</si>
  <si>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</si>
  <si>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</si>
  <si>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</si>
  <si>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</si>
  <si>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</si>
  <si>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</si>
  <si>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</si>
  <si>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</si>
  <si>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</si>
  <si>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</si>
  <si>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</si>
  <si>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</si>
  <si>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</si>
  <si>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</si>
  <si>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</si>
  <si>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</si>
  <si>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</si>
  <si>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</si>
  <si>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</si>
  <si>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</si>
  <si>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</si>
  <si>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</si>
  <si>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</si>
  <si>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</si>
  <si>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</si>
  <si>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</si>
  <si>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</si>
  <si>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</si>
  <si>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</si>
  <si>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</si>
  <si>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</si>
  <si>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</si>
  <si>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</si>
  <si>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</si>
  <si>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</si>
  <si>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</si>
  <si>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</si>
  <si>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</si>
  <si>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</si>
  <si>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</si>
  <si>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</si>
  <si>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</si>
  <si>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</si>
  <si>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</si>
  <si>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</si>
  <si>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</si>
  <si>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</si>
  <si>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</si>
  <si>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</si>
  <si>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</si>
  <si>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</si>
  <si>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</si>
  <si>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</si>
  <si>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</si>
  <si>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</si>
  <si>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</si>
  <si>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</si>
  <si>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</si>
  <si>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</si>
  <si>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</si>
  <si>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</si>
  <si>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</si>
  <si>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</si>
  <si>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</si>
  <si>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</si>
  <si>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</si>
  <si>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</si>
  <si>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</si>
  <si>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</si>
  <si>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</si>
  <si>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</si>
  <si>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</si>
  <si>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</si>
  <si>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</si>
  <si>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</si>
  <si>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</si>
  <si>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</si>
  <si>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</si>
  <si>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</si>
  <si>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</si>
  <si>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</si>
  <si>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</si>
  <si>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</si>
  <si>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</si>
  <si>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</si>
  <si>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</si>
  <si>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</si>
  <si>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</si>
  <si>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</si>
  <si>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</si>
  <si>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</si>
  <si>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</si>
  <si>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</si>
  <si>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</si>
  <si>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</si>
  <si>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</si>
  <si>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</si>
  <si>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</si>
  <si>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</si>
  <si>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</si>
  <si>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</si>
  <si>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</si>
  <si>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</si>
  <si>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</si>
  <si>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</si>
  <si>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</si>
  <si>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</si>
  <si>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</si>
  <si>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</si>
  <si>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</si>
  <si>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</si>
  <si>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</si>
  <si>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</si>
  <si>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</si>
  <si>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</si>
  <si>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</si>
  <si>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</si>
  <si>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</si>
  <si>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</si>
  <si>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</si>
  <si>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</si>
  <si>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</si>
  <si>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</si>
  <si>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</si>
  <si>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</si>
  <si>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</si>
  <si>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</si>
  <si>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</si>
  <si>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</si>
  <si>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</si>
  <si>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</si>
  <si>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</si>
  <si>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</si>
  <si>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</si>
  <si>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</si>
  <si>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</si>
  <si>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</si>
  <si>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</si>
  <si>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</si>
  <si>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</si>
  <si>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</si>
  <si>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</si>
  <si>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</si>
  <si>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</si>
  <si>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</si>
  <si>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</si>
  <si>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</si>
  <si>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</si>
  <si>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</si>
  <si>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</si>
  <si>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</si>
  <si>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</si>
  <si>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</si>
  <si>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</si>
  <si>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</si>
  <si>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</si>
  <si>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</si>
  <si>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</si>
  <si>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</si>
  <si>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</si>
  <si>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</si>
  <si>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</si>
  <si>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</si>
  <si>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</si>
  <si>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</si>
  <si>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</si>
  <si>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</si>
  <si>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</si>
  <si>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</si>
  <si>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</si>
  <si>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</si>
  <si>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</si>
  <si>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</si>
  <si>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</si>
  <si>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</si>
  <si>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</si>
  <si>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</si>
  <si>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</si>
  <si>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</si>
  <si>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</si>
  <si>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</si>
  <si>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</si>
  <si>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</si>
  <si>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</si>
  <si>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</si>
  <si>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</si>
  <si>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</si>
  <si>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</si>
  <si>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</si>
  <si>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</si>
  <si>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</si>
  <si>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</si>
  <si>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</si>
  <si>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</si>
  <si>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</si>
  <si>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</si>
  <si>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</si>
  <si>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</si>
  <si>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</si>
  <si>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</si>
  <si>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</si>
  <si>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</si>
  <si>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</si>
  <si>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</si>
  <si>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</si>
  <si>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</si>
  <si>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</si>
  <si>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</si>
  <si>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</si>
  <si>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</si>
  <si>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</si>
  <si>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</si>
  <si>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</si>
  <si>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</si>
  <si>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</si>
  <si>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</si>
  <si>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</si>
  <si>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</si>
  <si>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</si>
  <si>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</si>
  <si>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</si>
  <si>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</si>
  <si>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</si>
  <si>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</si>
  <si>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</si>
  <si>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</si>
  <si>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</si>
  <si>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</si>
  <si>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</si>
  <si>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</si>
  <si>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</si>
  <si>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</si>
  <si>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</si>
  <si>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</si>
  <si>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</si>
  <si>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</si>
  <si>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</si>
  <si>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</si>
  <si>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</si>
  <si>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</si>
  <si>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</si>
  <si>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</si>
  <si>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</si>
  <si>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</si>
  <si>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</si>
  <si>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</si>
  <si>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</si>
  <si>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</si>
  <si>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</si>
  <si>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</si>
  <si>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</si>
  <si>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</si>
  <si>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</si>
  <si>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</si>
  <si>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</si>
  <si>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</si>
  <si>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</si>
  <si>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</si>
  <si>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</si>
  <si>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</si>
  <si>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</si>
  <si>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</si>
  <si>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</si>
  <si>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</si>
  <si>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</si>
  <si>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</si>
  <si>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</si>
  <si>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</si>
  <si>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</si>
  <si>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</si>
  <si>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</si>
  <si>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</si>
  <si>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</si>
  <si>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</si>
  <si>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</si>
  <si>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</si>
  <si>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</si>
  <si>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</si>
  <si>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</si>
  <si>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</si>
  <si>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</si>
  <si>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</si>
  <si>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</si>
  <si>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</si>
  <si>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</si>
  <si>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</si>
  <si>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</si>
  <si>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</si>
  <si>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</si>
  <si>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</si>
  <si>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</si>
  <si>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</si>
  <si>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</si>
  <si>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</si>
  <si>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</si>
  <si>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</si>
  <si>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</si>
  <si>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</si>
  <si>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</si>
  <si>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</si>
  <si>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</si>
  <si>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</si>
  <si>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</si>
  <si>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</si>
  <si>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</si>
  <si>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</si>
  <si>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</si>
  <si>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</si>
  <si>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</si>
  <si>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</si>
  <si>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</si>
  <si>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</si>
  <si>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</si>
  <si>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</si>
  <si>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</si>
  <si>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</si>
  <si>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</si>
  <si>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</si>
  <si>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</si>
  <si>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</si>
  <si>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</si>
  <si>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</si>
  <si>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</si>
  <si>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</si>
  <si>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</si>
  <si>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</si>
  <si>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</si>
  <si>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</si>
  <si>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</si>
  <si>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</si>
  <si>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</si>
  <si>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</si>
  <si>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</si>
  <si>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</si>
  <si>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</si>
  <si>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</si>
  <si>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</si>
  <si>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</si>
  <si>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</si>
  <si>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</si>
  <si>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</si>
  <si>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</si>
  <si>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</si>
  <si>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</si>
  <si>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</si>
  <si>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</si>
  <si>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</si>
  <si>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</si>
  <si>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</si>
  <si>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</si>
  <si>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</si>
  <si>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</si>
  <si>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</si>
  <si>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</si>
  <si>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</si>
  <si>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</si>
  <si>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</si>
  <si>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</si>
  <si>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</si>
  <si>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</si>
  <si>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</si>
  <si>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</si>
  <si>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</si>
  <si>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</si>
  <si>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</si>
  <si>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</si>
  <si>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</si>
  <si>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</si>
  <si>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</si>
  <si>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</si>
  <si>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</si>
  <si>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</si>
  <si>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</si>
  <si>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</si>
  <si>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</si>
  <si>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</si>
  <si>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</si>
  <si>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</si>
  <si>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</si>
  <si>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</si>
  <si>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</si>
  <si>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</si>
  <si>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</si>
  <si>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</si>
  <si>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</si>
  <si>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</si>
  <si>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</si>
  <si>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</si>
  <si>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</si>
  <si>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</si>
  <si>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</si>
  <si>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</si>
  <si>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</si>
  <si>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</si>
  <si>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</si>
  <si>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</si>
  <si>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</si>
  <si>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</si>
  <si>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</si>
  <si>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</si>
  <si>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</si>
  <si>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</si>
  <si>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</si>
  <si>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</si>
  <si>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</si>
  <si>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</si>
  <si>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</si>
  <si>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</si>
  <si>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</si>
  <si>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</si>
  <si>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</si>
  <si>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</si>
  <si>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</si>
  <si>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</si>
  <si>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</si>
  <si>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</si>
  <si>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</si>
  <si>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</si>
  <si>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</si>
  <si>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</si>
  <si>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</si>
  <si>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</si>
  <si>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</si>
  <si>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</si>
  <si>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</si>
  <si>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</si>
  <si>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</si>
  <si>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</si>
  <si>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</si>
  <si>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</si>
  <si>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</si>
  <si>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</si>
  <si>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</si>
  <si>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</si>
  <si>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</si>
  <si>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</si>
  <si>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</si>
  <si>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</si>
  <si>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</si>
  <si>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</si>
  <si>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</si>
  <si>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</si>
  <si>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</si>
  <si>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</si>
  <si>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</si>
  <si>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</si>
  <si>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</si>
  <si>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</si>
  <si>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</si>
  <si>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</si>
  <si>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</si>
  <si>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</si>
  <si>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</si>
  <si>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</si>
  <si>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</si>
  <si>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</si>
  <si>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</si>
  <si>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</si>
  <si>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</si>
  <si>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</si>
  <si>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</si>
  <si>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</si>
  <si>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</si>
  <si>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</si>
  <si>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</si>
  <si>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</si>
  <si>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</si>
  <si>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</si>
  <si>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</si>
  <si>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</si>
  <si>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</si>
  <si>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</si>
  <si>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</si>
  <si>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</si>
  <si>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</si>
  <si>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</si>
  <si>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</si>
  <si>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</si>
  <si>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</si>
  <si>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</si>
  <si>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</si>
  <si>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</si>
  <si>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</si>
  <si>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</si>
  <si>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</si>
  <si>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</si>
  <si>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</si>
  <si>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</si>
  <si>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</si>
  <si>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</si>
  <si>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</si>
  <si>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</si>
  <si>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</si>
  <si>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</si>
  <si>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</si>
  <si>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</si>
  <si>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</si>
  <si>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</si>
  <si>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</si>
  <si>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</si>
  <si>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</si>
  <si>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</si>
  <si>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</si>
  <si>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</si>
  <si>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</si>
  <si>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</si>
  <si>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</si>
  <si>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</si>
  <si>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</si>
  <si>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</si>
  <si>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</si>
  <si>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</si>
  <si>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</si>
  <si>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</si>
  <si>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</si>
  <si>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</si>
  <si>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</si>
  <si>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</si>
  <si>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</si>
  <si>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</si>
  <si>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</si>
  <si>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</si>
  <si>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</si>
  <si>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</si>
  <si>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</si>
  <si>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</si>
  <si>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</si>
  <si>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</si>
  <si>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</si>
  <si>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</si>
  <si>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</si>
  <si>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</si>
  <si>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</si>
  <si>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</si>
  <si>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</si>
  <si>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</si>
  <si>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</si>
  <si>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</si>
  <si>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</si>
  <si>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</si>
  <si>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</si>
  <si>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</si>
  <si>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</si>
  <si>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</si>
  <si>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</si>
  <si>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</si>
  <si>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</si>
  <si>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</si>
  <si>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</si>
  <si>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</si>
  <si>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</si>
  <si>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</si>
  <si>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</si>
  <si>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</si>
  <si>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</si>
  <si>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</si>
  <si>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</si>
  <si>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</si>
  <si>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</si>
  <si>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</si>
  <si>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</si>
  <si>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</si>
  <si>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</si>
  <si>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</si>
  <si>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</si>
  <si>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</si>
  <si>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</si>
  <si>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</si>
  <si>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</si>
  <si>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</si>
  <si>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</si>
  <si>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</si>
  <si>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</si>
  <si>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</si>
  <si>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</si>
  <si>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</si>
  <si>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</si>
  <si>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</si>
  <si>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</si>
  <si>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</si>
  <si>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</si>
  <si>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</si>
  <si>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</si>
  <si>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</si>
  <si>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</si>
  <si>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</si>
  <si>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</si>
  <si>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</si>
  <si>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</si>
  <si>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</si>
  <si>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</si>
  <si>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</si>
  <si>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</si>
  <si>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</si>
  <si>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</si>
  <si>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</si>
  <si>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</si>
  <si>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</si>
  <si>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</si>
  <si>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</si>
  <si>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</si>
  <si>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</si>
  <si>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</si>
  <si>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</si>
  <si>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</si>
  <si>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</si>
  <si>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</si>
  <si>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</si>
  <si>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</si>
  <si>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</si>
  <si>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</si>
  <si>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</si>
  <si>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</si>
  <si>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</si>
  <si>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</si>
  <si>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</si>
  <si>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</si>
  <si>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</si>
  <si>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</si>
  <si>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</si>
  <si>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</si>
  <si>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</si>
  <si>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</si>
  <si>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</si>
  <si>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</si>
  <si>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</si>
  <si>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</si>
  <si>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</si>
  <si>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</si>
  <si>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</si>
  <si>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</si>
  <si>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</si>
  <si>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</si>
  <si>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</si>
  <si>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</si>
  <si>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</si>
  <si>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</si>
  <si>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</si>
  <si>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</si>
  <si>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</si>
  <si>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</si>
  <si>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</si>
  <si>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</si>
  <si>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</si>
  <si>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</si>
  <si>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</si>
  <si>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</si>
  <si>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</si>
  <si>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</si>
  <si>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</si>
  <si>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</si>
  <si>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</si>
  <si>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</si>
  <si>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</si>
  <si>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</si>
  <si>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</si>
  <si>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</si>
  <si>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</si>
  <si>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</si>
  <si>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</si>
  <si>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</si>
  <si>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</si>
  <si>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</si>
  <si>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</si>
  <si>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</si>
  <si>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</si>
  <si>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</si>
  <si>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</si>
  <si>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</si>
  <si>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</si>
  <si>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</si>
  <si>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</si>
  <si>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</si>
  <si>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</si>
  <si>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</si>
  <si>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</si>
  <si>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</si>
  <si>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</si>
  <si>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</si>
  <si>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</si>
  <si>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</si>
  <si>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</si>
  <si>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</si>
  <si>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</si>
  <si>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</si>
  <si>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</si>
  <si>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</si>
  <si>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</si>
  <si>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</si>
  <si>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</si>
  <si>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</si>
  <si>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</si>
  <si>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</si>
  <si>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</si>
  <si>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</si>
  <si>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</si>
  <si>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</si>
  <si>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</si>
  <si>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</si>
  <si>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</si>
  <si>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</si>
  <si>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</si>
  <si>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</si>
  <si>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</si>
  <si>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</si>
  <si>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</si>
  <si>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</si>
  <si>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</si>
  <si>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</si>
  <si>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</si>
  <si>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</si>
  <si>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</si>
  <si>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</si>
  <si>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</si>
  <si>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</si>
  <si>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</si>
  <si>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</si>
  <si>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</si>
  <si>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</si>
  <si>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</si>
  <si>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</si>
  <si>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</si>
  <si>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</si>
  <si>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</si>
  <si>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</si>
  <si>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</si>
  <si>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</si>
  <si>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</si>
  <si>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</si>
  <si>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</si>
  <si>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</si>
  <si>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</si>
  <si>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</si>
  <si>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</si>
  <si>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</si>
  <si>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</si>
  <si>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</si>
  <si>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</si>
  <si>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</si>
  <si>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</si>
  <si>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</si>
  <si>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</si>
  <si>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</si>
  <si>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</si>
  <si>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</si>
  <si>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</si>
  <si>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</si>
  <si>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</si>
  <si>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</si>
  <si>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</si>
  <si>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</si>
  <si>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</si>
  <si>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</si>
  <si>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</si>
  <si>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</si>
  <si>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</si>
  <si>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</si>
  <si>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</si>
  <si>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</si>
  <si>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</si>
  <si>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</si>
  <si>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</si>
  <si>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</si>
  <si>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</si>
  <si>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</si>
  <si>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</si>
  <si>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</si>
  <si>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</si>
  <si>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</si>
  <si>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</si>
  <si>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</si>
  <si>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</si>
  <si>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</si>
  <si>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</si>
  <si>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</si>
  <si>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</si>
  <si>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</si>
  <si>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</si>
  <si>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</si>
  <si>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</si>
  <si>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</si>
  <si>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</si>
  <si>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</si>
  <si>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</si>
  <si>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</si>
  <si>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</si>
  <si>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</si>
  <si>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</si>
  <si>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</si>
  <si>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</si>
  <si>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</si>
  <si>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</si>
  <si>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</si>
  <si>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</si>
  <si>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</si>
  <si>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</si>
  <si>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</si>
  <si>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</si>
  <si>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</si>
  <si>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</si>
  <si>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</si>
  <si>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</si>
  <si>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</si>
  <si>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</si>
  <si>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</si>
  <si>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</si>
  <si>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</si>
  <si>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</si>
  <si>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</si>
  <si>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</si>
  <si>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</si>
  <si>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</si>
  <si>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</si>
  <si>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</si>
  <si>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</si>
  <si>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</si>
  <si>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</si>
  <si>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</si>
  <si>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</si>
  <si>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</si>
  <si>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</si>
  <si>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</si>
  <si>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</si>
  <si>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</si>
  <si>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</si>
  <si>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</si>
  <si>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</si>
  <si>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</si>
  <si>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</si>
  <si>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</si>
  <si>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</si>
  <si>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</si>
  <si>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</si>
  <si>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</si>
  <si>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</si>
  <si>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</si>
  <si>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</si>
  <si>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</si>
  <si>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</si>
  <si>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</si>
  <si>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</si>
  <si>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</si>
  <si>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</si>
  <si>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</si>
  <si>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</si>
  <si>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</si>
  <si>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</si>
  <si>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</si>
  <si>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</si>
  <si>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</si>
  <si>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</si>
  <si>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</si>
  <si>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</si>
  <si>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</si>
  <si>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</si>
  <si>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</si>
  <si>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</si>
  <si>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</si>
  <si>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</si>
  <si>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</si>
  <si>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</si>
  <si>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</si>
  <si>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</si>
  <si>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</si>
  <si>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</si>
  <si>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</si>
  <si>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</si>
  <si>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</si>
  <si>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</si>
  <si>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</si>
  <si>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</si>
  <si>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</si>
  <si>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</si>
  <si>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</si>
  <si>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</si>
  <si>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</si>
  <si>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</si>
  <si>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</si>
  <si>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</si>
  <si>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</si>
  <si>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</si>
  <si>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</si>
  <si>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</si>
  <si>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</si>
  <si>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</si>
  <si>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</si>
  <si>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</si>
  <si>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</si>
  <si>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</si>
  <si>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</si>
  <si>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</si>
  <si>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</si>
  <si>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</si>
  <si>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</si>
  <si>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</si>
  <si>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</si>
  <si>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</si>
  <si>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</si>
  <si>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</si>
  <si>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</si>
  <si>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</si>
  <si>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</si>
  <si>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</si>
  <si>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</si>
  <si>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</si>
  <si>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</si>
  <si>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</si>
  <si>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</si>
  <si>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</si>
  <si>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</si>
  <si>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</si>
  <si>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</si>
  <si>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</si>
  <si>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</si>
  <si>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</si>
  <si>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</si>
  <si>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</si>
  <si>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</si>
  <si>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</si>
  <si>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</si>
  <si>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</si>
  <si>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</si>
  <si>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</si>
  <si>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</si>
  <si>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</si>
  <si>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</si>
  <si>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</si>
  <si>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</si>
  <si>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</si>
  <si>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</si>
  <si>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</si>
  <si>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</si>
  <si>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</si>
  <si>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</si>
  <si>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</si>
  <si>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</si>
  <si>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</si>
  <si>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</si>
  <si>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</si>
  <si>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</si>
  <si>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</si>
  <si>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</si>
  <si>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</si>
  <si>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</si>
  <si>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</si>
  <si>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</si>
  <si>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</si>
  <si>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</si>
  <si>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</si>
  <si>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</si>
  <si>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</si>
  <si>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</si>
  <si>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</si>
  <si>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</si>
  <si>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</si>
  <si>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</si>
  <si>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</si>
  <si>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</si>
  <si>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</si>
  <si>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</si>
  <si>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</si>
  <si>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</si>
  <si>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</si>
  <si>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</si>
  <si>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</si>
  <si>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</si>
  <si>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</si>
  <si>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</si>
  <si>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</si>
  <si>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</si>
  <si>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</si>
  <si>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</si>
  <si>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</si>
  <si>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</si>
  <si>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</si>
  <si>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</si>
  <si>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</si>
  <si>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</si>
  <si>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</si>
  <si>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</si>
  <si>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</si>
  <si>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</si>
  <si>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</si>
  <si>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</si>
  <si>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</si>
  <si>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</si>
  <si>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</si>
  <si>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</si>
  <si>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</si>
  <si>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</si>
  <si>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</si>
  <si>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</si>
  <si>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</si>
  <si>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</si>
  <si>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</si>
  <si>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</si>
  <si>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</si>
  <si>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</si>
  <si>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</si>
  <si>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</si>
  <si>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</si>
  <si>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</si>
  <si>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</si>
  <si>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</si>
  <si>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</si>
  <si>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</si>
  <si>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</si>
  <si>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</si>
  <si>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</si>
  <si>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</si>
  <si>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</si>
  <si>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</si>
  <si>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</si>
  <si>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</si>
  <si>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</si>
  <si>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</si>
  <si>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</si>
  <si>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</si>
  <si>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</si>
  <si>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</si>
  <si>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</si>
  <si>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</si>
  <si>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</si>
  <si>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</si>
  <si>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</si>
  <si>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</si>
  <si>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</si>
  <si>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</si>
  <si>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</si>
  <si>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</si>
  <si>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</si>
  <si>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</si>
  <si>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</si>
  <si>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</si>
  <si>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</si>
  <si>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</si>
  <si>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</si>
  <si>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</si>
  <si>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</si>
  <si>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</si>
  <si>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</si>
  <si>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</si>
  <si>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</si>
  <si>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</si>
  <si>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</si>
  <si>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</si>
  <si>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</si>
  <si>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</si>
  <si>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</si>
  <si>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</si>
  <si>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</si>
  <si>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</si>
  <si>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</si>
  <si>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</si>
  <si>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</si>
  <si>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</si>
  <si>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</si>
  <si>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</si>
  <si>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</si>
  <si>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</si>
  <si>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</si>
  <si>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</si>
  <si>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</si>
  <si>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</si>
  <si>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</si>
  <si>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</si>
  <si>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</si>
  <si>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</si>
  <si>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</si>
  <si>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</si>
  <si>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</si>
  <si>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</si>
  <si>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</si>
  <si>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</si>
  <si>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</si>
  <si>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</si>
  <si>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</si>
  <si>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</si>
  <si>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</si>
  <si>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</si>
  <si>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</si>
  <si>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</si>
  <si>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</si>
  <si>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</si>
  <si>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</si>
  <si>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</si>
  <si>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</si>
  <si>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</si>
  <si>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</si>
  <si>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</si>
  <si>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</si>
  <si>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</si>
  <si>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</si>
  <si>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</si>
  <si>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</si>
  <si>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</si>
  <si>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</si>
  <si>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</si>
  <si>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</si>
  <si>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</si>
  <si>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</si>
  <si>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</si>
  <si>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</si>
  <si>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</si>
  <si>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</si>
  <si>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</si>
  <si>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</si>
  <si>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</si>
  <si>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</si>
  <si>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</si>
  <si>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</si>
  <si>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</si>
  <si>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</si>
  <si>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</si>
  <si>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</si>
  <si>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</si>
  <si>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</si>
  <si>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</si>
  <si>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</si>
  <si>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</si>
  <si>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</si>
  <si>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</si>
  <si>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</si>
  <si>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</si>
  <si>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</si>
  <si>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</si>
  <si>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</si>
  <si>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</si>
  <si>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</si>
  <si>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</si>
  <si>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</si>
  <si>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</si>
  <si>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</si>
  <si>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</si>
  <si>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</si>
  <si>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</si>
  <si>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</si>
  <si>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</si>
  <si>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</si>
  <si>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</si>
  <si>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</si>
  <si>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</si>
  <si>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</si>
  <si>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</si>
  <si>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</si>
  <si>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</si>
  <si>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</si>
  <si>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</si>
  <si>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</si>
  <si>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</si>
  <si>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</si>
  <si>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</si>
  <si>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</si>
  <si>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</si>
  <si>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</si>
  <si>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</si>
  <si>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</si>
  <si>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</si>
  <si>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</si>
  <si>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</si>
  <si>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</si>
  <si>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</si>
  <si>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</si>
  <si>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</si>
  <si>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</si>
  <si>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</si>
  <si>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</si>
  <si>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</si>
  <si>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</si>
  <si>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</si>
  <si>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</si>
  <si>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</si>
  <si>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</si>
  <si>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</si>
  <si>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</si>
  <si>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</si>
  <si>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</si>
  <si>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</si>
  <si>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</si>
  <si>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</si>
  <si>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</si>
  <si>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</si>
  <si>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</si>
  <si>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</si>
  <si>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</si>
  <si>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</si>
  <si>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</si>
  <si>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</si>
  <si>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</si>
  <si>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</si>
  <si>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</si>
  <si>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</si>
  <si>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</si>
  <si>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</si>
  <si>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</si>
  <si>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</si>
  <si>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</si>
  <si>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</si>
  <si>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</si>
  <si>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</si>
  <si>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</si>
  <si>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</si>
  <si>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</si>
  <si>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</si>
  <si>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</si>
  <si>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</si>
  <si>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</si>
  <si>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</si>
  <si>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</si>
  <si>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</si>
  <si>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</si>
  <si>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</si>
  <si>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</si>
  <si>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</si>
  <si>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</si>
  <si>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</si>
  <si>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</si>
  <si>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</si>
  <si>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</si>
  <si>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</si>
  <si>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</si>
  <si>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</si>
  <si>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</si>
  <si>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</si>
  <si>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</si>
  <si>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</si>
  <si>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</si>
  <si>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</si>
  <si>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</si>
  <si>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</si>
  <si>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</si>
  <si>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</si>
  <si>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</si>
  <si>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</si>
  <si>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</si>
  <si>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</si>
  <si>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</si>
  <si>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</si>
  <si>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</si>
  <si>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</si>
  <si>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</si>
  <si>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</si>
  <si>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</si>
  <si>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</si>
  <si>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</si>
  <si>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</si>
  <si>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</si>
  <si>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</si>
  <si>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</si>
  <si>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</si>
  <si>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</si>
  <si>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</si>
  <si>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</si>
  <si>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</si>
  <si>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</si>
  <si>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</si>
  <si>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</si>
  <si>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</si>
  <si>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</si>
  <si>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</si>
  <si>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</si>
  <si>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</si>
  <si>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</si>
  <si>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</si>
  <si>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</si>
  <si>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</si>
  <si>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</si>
  <si>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</si>
  <si>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</si>
  <si>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</si>
  <si>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</si>
  <si>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</si>
  <si>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</si>
  <si>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</si>
  <si>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</si>
  <si>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</si>
  <si>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</si>
  <si>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</si>
  <si>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</si>
  <si>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</si>
  <si>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</si>
  <si>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</si>
  <si>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</si>
  <si>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</si>
  <si>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</si>
  <si>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</si>
  <si>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</si>
  <si>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</si>
  <si>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</si>
  <si>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</si>
  <si>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</si>
  <si>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</si>
  <si>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</si>
  <si>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</si>
  <si>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</si>
  <si>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</si>
  <si>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</si>
  <si>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</si>
  <si>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</si>
  <si>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</si>
  <si>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</si>
  <si>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</si>
  <si>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</si>
  <si>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</si>
  <si>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</si>
  <si>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</si>
  <si>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</si>
  <si>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</si>
  <si>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</si>
  <si>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</si>
  <si>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</si>
  <si>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</si>
  <si>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</si>
  <si>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</si>
  <si>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</si>
  <si>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</si>
  <si>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</si>
  <si>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</si>
  <si>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</si>
  <si>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</si>
  <si>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</si>
  <si>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</si>
  <si>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</si>
  <si>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</si>
  <si>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</si>
  <si>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</si>
  <si>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</si>
  <si>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</si>
  <si>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</si>
  <si>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</si>
  <si>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</si>
  <si>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</si>
  <si>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</si>
  <si>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</si>
  <si>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</si>
  <si>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</si>
  <si>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</si>
  <si>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</si>
  <si>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</si>
  <si>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</si>
  <si>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</si>
  <si>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</si>
  <si>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</si>
  <si>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</si>
  <si>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</si>
  <si>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</si>
  <si>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</si>
  <si>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</si>
  <si>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</si>
  <si>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</si>
  <si>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</si>
  <si>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</si>
  <si>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</si>
  <si>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</si>
  <si>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</si>
  <si>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</si>
  <si>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</si>
  <si>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</si>
  <si>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</si>
  <si>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</si>
  <si>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</si>
  <si>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</si>
  <si>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</si>
  <si>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</si>
  <si>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</si>
  <si>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</si>
  <si>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</si>
  <si>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</si>
  <si>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</si>
  <si>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</si>
  <si>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</si>
  <si>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</si>
  <si>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</si>
  <si>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</si>
  <si>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</si>
  <si>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</si>
  <si>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</si>
  <si>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</si>
  <si>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</si>
  <si>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</si>
  <si>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</si>
  <si>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</si>
  <si>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</si>
  <si>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</si>
  <si>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</si>
  <si>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</si>
  <si>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</si>
  <si>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</si>
  <si>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</si>
  <si>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</si>
  <si>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</si>
  <si>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</si>
  <si>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</si>
  <si>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</si>
  <si>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</si>
  <si>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</si>
  <si>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</si>
  <si>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</si>
  <si>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</si>
  <si>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</si>
  <si>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</si>
  <si>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</si>
  <si>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</si>
  <si>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</si>
  <si>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</si>
  <si>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</si>
  <si>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</si>
  <si>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</si>
  <si>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</si>
  <si>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</si>
  <si>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</si>
  <si>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</si>
  <si>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</si>
  <si>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</si>
  <si>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</si>
  <si>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</si>
  <si>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</si>
  <si>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</si>
  <si>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</si>
  <si>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</si>
  <si>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</si>
  <si>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</si>
  <si>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</si>
  <si>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</si>
  <si>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</si>
  <si>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</si>
  <si>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</si>
  <si>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</si>
  <si>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</si>
  <si>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</si>
  <si>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</si>
  <si>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</si>
  <si>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</si>
  <si>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</si>
  <si>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</si>
  <si>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</si>
  <si>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</si>
  <si>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</si>
  <si>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</si>
  <si>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</si>
  <si>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</si>
  <si>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</si>
  <si>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</si>
  <si>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</si>
  <si>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</si>
  <si>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</si>
  <si>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</si>
  <si>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</si>
  <si>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</si>
  <si>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</si>
  <si>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</si>
  <si>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</si>
  <si>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</si>
  <si>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</si>
  <si>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</si>
  <si>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</si>
  <si>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</si>
  <si>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</si>
  <si>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</si>
  <si>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</si>
  <si>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</si>
  <si>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</si>
  <si>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</si>
  <si>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</si>
  <si>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</si>
  <si>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</si>
  <si>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</si>
  <si>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</si>
  <si>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</si>
  <si>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</si>
  <si>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</si>
  <si>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</si>
  <si>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</si>
  <si>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</si>
  <si>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</si>
  <si>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</si>
  <si>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</si>
  <si>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</si>
  <si>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</si>
  <si>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</si>
  <si>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</si>
  <si>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</si>
  <si>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</si>
  <si>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</si>
  <si>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</si>
  <si>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</si>
  <si>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</si>
  <si>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</si>
  <si>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</si>
  <si>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</si>
  <si>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</si>
  <si>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</si>
  <si>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</si>
  <si>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</si>
  <si>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</si>
  <si>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</si>
  <si>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</si>
  <si>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</si>
  <si>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</si>
  <si>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</si>
  <si>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</si>
  <si>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</si>
  <si>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</si>
  <si>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</si>
  <si>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</si>
  <si>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</si>
  <si>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</si>
  <si>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</si>
  <si>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</si>
  <si>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</si>
  <si>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</si>
  <si>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</si>
  <si>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</si>
  <si>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</si>
  <si>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</si>
  <si>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</si>
  <si>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</si>
  <si>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</si>
  <si>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</si>
  <si>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</si>
  <si>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</si>
  <si>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</si>
  <si>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</si>
  <si>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</si>
  <si>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</si>
  <si>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</si>
  <si>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</si>
  <si>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</si>
  <si>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</si>
  <si>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</si>
  <si>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</si>
  <si>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</si>
  <si>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</si>
  <si>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</si>
  <si>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</si>
  <si>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</si>
  <si>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</si>
  <si>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</si>
  <si>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</si>
  <si>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</si>
  <si>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</si>
  <si>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</si>
  <si>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</si>
  <si>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</si>
  <si>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</si>
  <si>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</si>
  <si>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</si>
  <si>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</si>
  <si>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</si>
  <si>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</si>
  <si>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</si>
  <si>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</si>
  <si>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</si>
  <si>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</si>
  <si>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</si>
  <si>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</si>
  <si>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</si>
  <si>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</si>
  <si>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</si>
  <si>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</si>
  <si>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</si>
  <si>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</si>
  <si>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</si>
  <si>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</si>
  <si>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</si>
  <si>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</si>
  <si>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</si>
  <si>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</si>
  <si>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</si>
  <si>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</si>
  <si>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</si>
  <si>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</si>
  <si>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</si>
  <si>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</si>
  <si>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</si>
  <si>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</si>
  <si>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</si>
  <si>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</si>
  <si>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</si>
  <si>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</si>
  <si>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</si>
  <si>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</si>
  <si>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</si>
  <si>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</si>
  <si>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</si>
  <si>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</si>
  <si>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</si>
  <si>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</si>
  <si>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</si>
  <si>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</si>
  <si>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</si>
  <si>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</si>
  <si>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</si>
  <si>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</si>
  <si>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</si>
  <si>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</si>
  <si>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</si>
  <si>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</si>
  <si>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</si>
  <si>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</si>
  <si>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</si>
  <si>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</si>
  <si>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</si>
  <si>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</si>
  <si>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</si>
  <si>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</si>
  <si>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</si>
  <si>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</si>
  <si>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</si>
  <si>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</si>
  <si>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</si>
  <si>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</si>
  <si>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</si>
  <si>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</si>
  <si>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</si>
  <si>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</si>
  <si>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</si>
  <si>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</si>
  <si>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</si>
  <si>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</si>
  <si>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</si>
  <si>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</si>
  <si>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</si>
  <si>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</si>
  <si>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</si>
  <si>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</si>
  <si>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</si>
  <si>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</si>
  <si>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</si>
  <si>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</si>
  <si>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</si>
  <si>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</si>
  <si>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</si>
  <si>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</si>
  <si>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</si>
  <si>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</si>
  <si>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</si>
  <si>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</si>
  <si>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</si>
  <si>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</si>
  <si>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</si>
  <si>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</si>
  <si>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</si>
  <si>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</si>
  <si>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</si>
  <si>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</si>
  <si>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</si>
  <si>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</si>
  <si>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</si>
  <si>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</si>
  <si>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</si>
  <si>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</si>
  <si>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</si>
  <si>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</si>
  <si>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</si>
  <si>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</si>
  <si>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</si>
  <si>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</si>
  <si>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</si>
  <si>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</si>
  <si>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</si>
  <si>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</si>
  <si>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</si>
  <si>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</si>
  <si>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</si>
  <si>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</si>
  <si>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</si>
  <si>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</si>
  <si>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</si>
  <si>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</si>
  <si>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</si>
  <si>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</si>
  <si>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</si>
  <si>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</si>
  <si>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</si>
  <si>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</si>
  <si>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</si>
  <si>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</si>
  <si>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</si>
  <si>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</si>
  <si>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</si>
  <si>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</si>
  <si>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</si>
  <si>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</si>
  <si>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</si>
  <si>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</si>
  <si>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</si>
  <si>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</si>
  <si>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</si>
  <si>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</si>
  <si>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</si>
  <si>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</si>
  <si>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</si>
  <si>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</si>
  <si>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</si>
  <si>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</si>
  <si>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</si>
  <si>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</si>
  <si>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</si>
  <si>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</si>
  <si>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</si>
  <si>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</si>
  <si>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</si>
  <si>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</si>
  <si>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</si>
  <si>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</si>
  <si>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</si>
  <si>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</si>
  <si>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</si>
  <si>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</si>
  <si>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</si>
  <si>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</si>
  <si>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</si>
  <si>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</si>
  <si>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</si>
  <si>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</si>
  <si>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</si>
  <si>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</si>
  <si>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</si>
  <si>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</si>
  <si>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</si>
  <si>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</si>
  <si>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</si>
  <si>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</si>
  <si>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</si>
  <si>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</si>
  <si>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</si>
  <si>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</si>
  <si>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</si>
  <si>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</si>
  <si>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</si>
  <si>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</si>
  <si>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</si>
  <si>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</si>
  <si>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</si>
  <si>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</si>
  <si>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</si>
  <si>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</si>
  <si>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</si>
  <si>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</si>
  <si>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</si>
  <si>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</si>
  <si>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</si>
  <si>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</si>
  <si>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</si>
  <si>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</si>
  <si>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</si>
  <si>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</si>
  <si>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</si>
  <si>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</si>
  <si>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</si>
  <si>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</si>
  <si>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</si>
  <si>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</si>
  <si>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</si>
  <si>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</si>
  <si>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</si>
  <si>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</si>
  <si>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</si>
  <si>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</si>
  <si>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</si>
  <si>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</si>
  <si>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</si>
  <si>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</si>
  <si>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</si>
  <si>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</si>
  <si>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</si>
  <si>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</si>
  <si>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</si>
  <si>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</si>
  <si>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</si>
  <si>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</si>
  <si>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</si>
  <si>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</si>
  <si>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</si>
  <si>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</si>
  <si>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</si>
  <si>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</si>
  <si>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</si>
  <si>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</si>
  <si>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</si>
  <si>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</si>
  <si>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</si>
  <si>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</si>
  <si>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</si>
  <si>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</si>
  <si>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</si>
  <si>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</si>
  <si>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</si>
  <si>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</si>
  <si>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</si>
  <si>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</si>
  <si>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</si>
  <si>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</si>
  <si>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</si>
  <si>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</si>
  <si>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</si>
  <si>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</si>
  <si>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</si>
  <si>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</si>
  <si>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</si>
  <si>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</si>
  <si>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</si>
  <si>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</si>
  <si>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</si>
  <si>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</si>
  <si>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</si>
  <si>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</si>
  <si>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</si>
  <si>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</si>
  <si>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</si>
  <si>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</si>
  <si>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</si>
  <si>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</si>
  <si>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</si>
  <si>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</si>
  <si>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</si>
  <si>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</si>
  <si>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</si>
  <si>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</si>
  <si>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</si>
  <si>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</si>
  <si>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</si>
  <si>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</si>
  <si>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</si>
  <si>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</si>
  <si>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</si>
  <si>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</si>
  <si>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</si>
  <si>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</si>
  <si>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</si>
  <si>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</si>
  <si>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</si>
  <si>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</si>
  <si>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</si>
  <si>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</si>
  <si>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</si>
  <si>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</si>
  <si>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</si>
  <si>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</si>
  <si>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</si>
  <si>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</si>
  <si>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</si>
  <si>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</si>
  <si>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</si>
  <si>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</si>
  <si>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</si>
  <si>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</si>
  <si>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</si>
  <si>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</si>
  <si>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</si>
  <si>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</si>
  <si>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</si>
  <si>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</si>
  <si>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</si>
  <si>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</si>
  <si>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</si>
  <si>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</si>
  <si>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</si>
  <si>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</si>
  <si>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</si>
  <si>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</si>
  <si>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</si>
  <si>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</si>
  <si>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</si>
  <si>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</si>
  <si>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</si>
  <si>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</si>
  <si>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</si>
  <si>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</si>
  <si>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</si>
  <si>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</si>
  <si>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</si>
  <si>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</si>
  <si>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</si>
  <si>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</si>
  <si>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</si>
  <si>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</si>
  <si>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</si>
  <si>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</si>
  <si>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</si>
  <si>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</si>
  <si>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</si>
  <si>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</si>
  <si>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</si>
  <si>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</si>
  <si>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</si>
  <si>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</si>
  <si>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</si>
  <si>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</si>
  <si>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</si>
  <si>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</si>
  <si>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</si>
  <si>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</si>
  <si>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</si>
  <si>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</si>
  <si>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</si>
  <si>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</si>
  <si>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</si>
  <si>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</si>
  <si>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</si>
  <si>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</si>
  <si>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</si>
  <si>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</si>
  <si>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</si>
  <si>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</si>
  <si>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</si>
  <si>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</si>
  <si>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</si>
  <si>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</si>
  <si>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</si>
  <si>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</si>
  <si>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</si>
  <si>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</si>
  <si>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</si>
  <si>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</si>
  <si>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</si>
  <si>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</si>
  <si>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</si>
  <si>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</si>
  <si>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</si>
  <si>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</si>
  <si>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</si>
  <si>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</si>
  <si>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</si>
  <si>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</si>
  <si>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</si>
  <si>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</si>
  <si>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</si>
  <si>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</si>
  <si>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</si>
  <si>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</si>
  <si>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</si>
  <si>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</si>
  <si>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</si>
  <si>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</si>
  <si>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</si>
  <si>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</si>
  <si>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</si>
  <si>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</si>
  <si>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</si>
  <si>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</si>
  <si>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</si>
  <si>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</si>
  <si>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</si>
  <si>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</si>
  <si>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</si>
  <si>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</si>
  <si>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</si>
  <si>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</si>
  <si>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</si>
  <si>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</si>
  <si>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</si>
  <si>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</si>
  <si>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</si>
  <si>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</si>
  <si>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</si>
  <si>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</si>
  <si>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</si>
  <si>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</si>
  <si>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</si>
  <si>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</si>
  <si>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</si>
  <si>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</si>
  <si>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</si>
  <si>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</si>
  <si>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</si>
  <si>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</si>
  <si>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</si>
  <si>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</si>
  <si>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</si>
  <si>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</si>
  <si>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</si>
  <si>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</si>
  <si>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</si>
  <si>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</si>
  <si>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</si>
  <si>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</si>
  <si>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</si>
  <si>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</si>
  <si>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</si>
  <si>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</si>
  <si>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</si>
  <si>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</si>
  <si>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</si>
  <si>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</si>
  <si>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</si>
  <si>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</si>
  <si>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</si>
  <si>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</si>
  <si>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</si>
  <si>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</si>
  <si>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</si>
  <si>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</si>
  <si>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</si>
  <si>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</si>
  <si>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</si>
  <si>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</si>
  <si>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</si>
  <si>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</si>
  <si>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</si>
  <si>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</si>
  <si>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</si>
  <si>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</si>
  <si>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</si>
  <si>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</si>
  <si>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</si>
  <si>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</si>
  <si>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</si>
  <si>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</si>
  <si>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</si>
  <si>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</si>
  <si>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</si>
  <si>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</si>
  <si>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</si>
  <si>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</si>
  <si>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</si>
  <si>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</si>
  <si>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</si>
  <si>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</si>
  <si>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</si>
  <si>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</si>
  <si>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</si>
  <si>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</si>
  <si>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</si>
  <si>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</si>
  <si>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</si>
  <si>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</si>
  <si>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</si>
  <si>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</si>
  <si>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</si>
  <si>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</si>
  <si>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</si>
  <si>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</si>
  <si>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</si>
  <si>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</si>
  <si>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</si>
  <si>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</si>
  <si>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</si>
  <si>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</si>
  <si>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</si>
  <si>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</si>
  <si>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</si>
  <si>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</si>
  <si>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</si>
  <si>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</si>
  <si>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</si>
  <si>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</si>
  <si>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</si>
  <si>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</si>
  <si>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</si>
  <si>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</si>
  <si>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</si>
  <si>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</si>
  <si>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</si>
  <si>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</si>
  <si>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</si>
  <si>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</si>
  <si>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</si>
  <si>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</si>
  <si>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</si>
  <si>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</si>
  <si>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</si>
  <si>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</si>
  <si>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</si>
  <si>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</si>
  <si>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</si>
  <si>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</si>
  <si>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</si>
  <si>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</si>
  <si>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</si>
  <si>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</si>
  <si>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</si>
  <si>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</si>
  <si>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</si>
  <si>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</si>
  <si>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</si>
  <si>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</si>
  <si>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</si>
  <si>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</si>
  <si>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</si>
  <si>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</si>
  <si>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</si>
  <si>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</si>
  <si>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</si>
  <si>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</si>
  <si>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</si>
  <si>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</si>
  <si>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</si>
  <si>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</si>
  <si>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</si>
  <si>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</si>
  <si>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</si>
  <si>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</si>
  <si>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</si>
  <si>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</si>
  <si>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</si>
  <si>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</si>
  <si>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</si>
  <si>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</si>
  <si>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</si>
  <si>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</si>
  <si>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</si>
  <si>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</si>
  <si>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</si>
  <si>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</si>
  <si>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</si>
  <si>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</si>
  <si>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</si>
  <si>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</si>
  <si>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</si>
  <si>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</si>
  <si>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</si>
  <si>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</si>
  <si>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</si>
  <si>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</si>
  <si>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</si>
  <si>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</si>
  <si>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</si>
  <si>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</si>
  <si>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</si>
  <si>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</si>
  <si>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</si>
  <si>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</si>
  <si>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</si>
  <si>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</si>
  <si>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</si>
  <si>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</si>
  <si>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</si>
  <si>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</si>
  <si>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</si>
  <si>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</si>
  <si>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</si>
  <si>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</si>
  <si>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</si>
  <si>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</si>
  <si>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</si>
  <si>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</si>
  <si>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</si>
  <si>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</si>
  <si>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</si>
  <si>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</si>
  <si>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</si>
  <si>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</si>
  <si>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</si>
  <si>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</si>
  <si>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</si>
  <si>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</si>
  <si>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</si>
  <si>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</si>
  <si>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</si>
  <si>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</si>
  <si>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</si>
  <si>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</si>
  <si>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</si>
  <si>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</si>
  <si>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</si>
  <si>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</si>
  <si>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</si>
  <si>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</si>
  <si>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</si>
  <si>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</si>
  <si>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</si>
  <si>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</si>
  <si>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</si>
  <si>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</si>
  <si>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</si>
  <si>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</si>
  <si>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</si>
  <si>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</si>
  <si>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</si>
  <si>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</si>
  <si>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</si>
  <si>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</si>
  <si>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</si>
  <si>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</si>
  <si>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</si>
  <si>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</si>
  <si>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</si>
  <si>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</si>
  <si>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</si>
  <si>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</si>
  <si>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</si>
  <si>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</si>
  <si>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</si>
  <si>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</si>
  <si>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</si>
  <si>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</si>
  <si>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</si>
  <si>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</si>
  <si>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</si>
  <si>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</si>
  <si>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</si>
  <si>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</si>
  <si>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</si>
  <si>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</si>
  <si>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</si>
  <si>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</si>
  <si>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</si>
  <si>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</si>
  <si>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</si>
  <si>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</si>
  <si>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</si>
  <si>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</si>
  <si>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</si>
  <si>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</si>
  <si>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</si>
  <si>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</si>
  <si>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</si>
  <si>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</si>
  <si>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</si>
  <si>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</si>
  <si>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</si>
  <si>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</si>
  <si>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</si>
  <si>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</si>
  <si>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</si>
  <si>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</si>
  <si>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</si>
  <si>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</si>
  <si>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</si>
  <si>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</si>
  <si>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</si>
  <si>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</si>
  <si>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</si>
  <si>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</si>
  <si>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</si>
  <si>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</si>
  <si>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</si>
  <si>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</si>
  <si>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</si>
  <si>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</si>
  <si>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</si>
  <si>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</si>
  <si>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</si>
  <si>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</si>
  <si>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</si>
  <si>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</si>
  <si>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</si>
  <si>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</si>
  <si>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</si>
  <si>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</si>
  <si>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</si>
  <si>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</si>
  <si>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</si>
  <si>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</si>
  <si>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</si>
  <si>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</si>
  <si>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</si>
  <si>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</si>
  <si>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</si>
  <si>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</si>
  <si>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</si>
  <si>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</si>
  <si>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</si>
  <si>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</si>
  <si>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</si>
  <si>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</si>
  <si>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</si>
  <si>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</si>
  <si>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</si>
  <si>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</si>
  <si>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</si>
  <si>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</si>
  <si>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</si>
  <si>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</si>
  <si>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</si>
  <si>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</si>
  <si>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</si>
  <si>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</si>
  <si>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</si>
  <si>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</si>
  <si>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</si>
  <si>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</si>
  <si>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</si>
  <si>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</si>
  <si>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</si>
  <si>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</si>
  <si>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</si>
  <si>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</si>
  <si>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</si>
  <si>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</si>
  <si>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</si>
  <si>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</si>
  <si>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</si>
  <si>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</si>
  <si>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</si>
  <si>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</si>
  <si>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</si>
  <si>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</si>
  <si>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</si>
  <si>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</si>
  <si>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</si>
  <si>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</si>
  <si>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</si>
  <si>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</si>
  <si>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</si>
  <si>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</si>
  <si>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</si>
  <si>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</si>
  <si>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</si>
  <si>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</si>
  <si>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</si>
  <si>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</si>
  <si>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</si>
  <si>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</si>
  <si>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</si>
  <si>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</si>
  <si>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</si>
  <si>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</si>
  <si>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</si>
  <si>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</si>
  <si>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</si>
  <si>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</si>
  <si>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</si>
  <si>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</si>
  <si>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</si>
  <si>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</si>
  <si>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</si>
  <si>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</si>
  <si>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</si>
  <si>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</si>
  <si>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</si>
  <si>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</si>
  <si>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</si>
  <si>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</si>
  <si>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</si>
  <si>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</si>
  <si>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</si>
  <si>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</si>
  <si>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</si>
  <si>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</si>
  <si>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</si>
  <si>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</si>
  <si>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</si>
  <si>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</si>
  <si>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</si>
  <si>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</si>
  <si>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</si>
  <si>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</si>
  <si>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</si>
  <si>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</si>
  <si>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</si>
  <si>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</si>
  <si>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</si>
  <si>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</si>
  <si>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</si>
  <si>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</si>
  <si>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</si>
  <si>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</si>
  <si>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</si>
  <si>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</si>
  <si>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</si>
  <si>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</si>
  <si>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</si>
  <si>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</si>
  <si>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</si>
  <si>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</si>
  <si>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</si>
  <si>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</si>
  <si>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</si>
  <si>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</si>
  <si>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</si>
  <si>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</si>
  <si>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</si>
  <si>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</si>
  <si>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</si>
  <si>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</si>
  <si>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</si>
  <si>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</si>
  <si>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</si>
  <si>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</si>
  <si>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</si>
  <si>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</si>
  <si>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</si>
  <si>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</si>
  <si>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</si>
  <si>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</si>
  <si>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</si>
  <si>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</si>
  <si>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</si>
  <si>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</si>
  <si>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</si>
  <si>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</si>
  <si>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</si>
  <si>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</si>
  <si>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</si>
  <si>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</si>
  <si>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</si>
  <si>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</si>
  <si>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</si>
  <si>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</si>
  <si>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</si>
  <si>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</si>
  <si>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</si>
  <si>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</si>
  <si>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</si>
  <si>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</si>
  <si>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</si>
  <si>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</si>
  <si>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</si>
  <si>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</si>
  <si>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</si>
  <si>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</si>
  <si>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</si>
  <si>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</si>
  <si>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</si>
  <si>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</si>
  <si>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</si>
  <si>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</si>
  <si>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</si>
  <si>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</si>
  <si>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</si>
  <si>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</si>
  <si>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</si>
  <si>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</si>
  <si>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</si>
  <si>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</si>
  <si>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</si>
  <si>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</si>
  <si>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</si>
  <si>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</si>
  <si>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</si>
  <si>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</si>
  <si>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</si>
  <si>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</si>
  <si>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</si>
  <si>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</si>
  <si>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</si>
  <si>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</si>
  <si>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</si>
  <si>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</si>
  <si>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</si>
  <si>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</si>
  <si>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</si>
  <si>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</si>
  <si>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</si>
  <si>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</si>
  <si>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</si>
  <si>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</si>
  <si>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</si>
  <si>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</si>
  <si>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</si>
  <si>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</si>
  <si>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</si>
  <si>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</si>
  <si>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</si>
  <si>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</si>
  <si>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</si>
  <si>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</si>
  <si>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</si>
  <si>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</si>
  <si>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</si>
  <si>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</si>
  <si>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</si>
  <si>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</si>
  <si>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</si>
  <si>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</si>
  <si>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</si>
  <si>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</si>
  <si>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</si>
  <si>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</si>
  <si>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</si>
  <si>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</si>
  <si>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</si>
  <si>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</si>
  <si>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</si>
  <si>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</si>
  <si>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</si>
  <si>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</si>
  <si>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</si>
  <si>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</si>
  <si>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</si>
  <si>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</si>
  <si>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</si>
  <si>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</si>
  <si>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</si>
  <si>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</si>
  <si>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</si>
  <si>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</si>
  <si>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</si>
  <si>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</si>
  <si>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</si>
  <si>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</si>
  <si>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</si>
  <si>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</si>
  <si>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</si>
  <si>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</si>
  <si>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</si>
  <si>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</si>
  <si>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</si>
  <si>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</si>
  <si>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</si>
  <si>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</si>
  <si>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</si>
  <si>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</si>
  <si>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</si>
  <si>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</si>
  <si>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</si>
  <si>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</si>
  <si>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</si>
  <si>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</si>
  <si>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</si>
  <si>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</si>
  <si>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</si>
  <si>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</si>
  <si>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</si>
  <si>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</si>
  <si>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</si>
  <si>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</si>
  <si>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</si>
  <si>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</si>
  <si>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</si>
  <si>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</si>
  <si>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</si>
  <si>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</si>
  <si>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</si>
  <si>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</si>
  <si>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</si>
  <si>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</si>
  <si>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</si>
  <si>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</si>
  <si>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</si>
  <si>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</si>
  <si>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</si>
  <si>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</si>
  <si>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</si>
  <si>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</si>
  <si>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</si>
  <si>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</si>
  <si>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</si>
  <si>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</si>
  <si>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</si>
  <si>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</si>
  <si>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</si>
  <si>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</si>
  <si>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</si>
  <si>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</si>
  <si>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</si>
  <si>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</si>
  <si>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</si>
  <si>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</si>
  <si>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</si>
  <si>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</si>
  <si>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</si>
  <si>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</si>
  <si>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</si>
  <si>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</si>
  <si>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</si>
  <si>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</si>
  <si>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</si>
  <si>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</si>
  <si>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</si>
  <si>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</si>
  <si>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</si>
  <si>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</si>
  <si>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</si>
  <si>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</si>
  <si>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</si>
  <si>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</si>
  <si>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</si>
  <si>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</si>
  <si>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</si>
  <si>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</si>
  <si>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</si>
  <si>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</si>
  <si>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</si>
  <si>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</si>
  <si>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</si>
  <si>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</si>
  <si>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</si>
  <si>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</si>
  <si>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</si>
  <si>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</si>
  <si>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</si>
  <si>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</si>
  <si>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</si>
  <si>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</si>
  <si>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</si>
  <si>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</si>
  <si>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</si>
  <si>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</si>
  <si>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</si>
  <si>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</si>
  <si>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</si>
  <si>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</si>
  <si>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</si>
  <si>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</si>
  <si>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</si>
  <si>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</si>
  <si>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</si>
  <si>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</si>
  <si>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</si>
  <si>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</si>
  <si>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</si>
  <si>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</si>
  <si>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</si>
  <si>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</si>
  <si>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</si>
  <si>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</si>
  <si>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</si>
  <si>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</si>
  <si>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</si>
  <si>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</si>
  <si>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</si>
  <si>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</si>
  <si>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</si>
  <si>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</si>
  <si>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</si>
  <si>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</si>
  <si>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</si>
  <si>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</si>
  <si>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</si>
  <si>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</si>
  <si>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</si>
  <si>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</si>
  <si>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</si>
  <si>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</si>
  <si>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</si>
  <si>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</si>
  <si>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</si>
  <si>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</si>
  <si>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</si>
  <si>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</si>
  <si>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</si>
  <si>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</si>
  <si>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</si>
  <si>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</si>
  <si>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</si>
  <si>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</si>
  <si>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</si>
  <si>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</si>
  <si>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</si>
  <si>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</si>
  <si>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</si>
  <si>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</si>
  <si>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</si>
  <si>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</si>
  <si>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</si>
  <si>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</si>
  <si>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</si>
  <si>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</si>
  <si>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</si>
  <si>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</si>
  <si>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</si>
  <si>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</si>
  <si>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</si>
  <si>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</si>
  <si>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</si>
  <si>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</si>
  <si>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</si>
  <si>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</si>
  <si>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</si>
  <si>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</si>
  <si>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</si>
  <si>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</si>
  <si>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</si>
  <si>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</si>
  <si>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</si>
  <si>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</si>
  <si>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</si>
  <si>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</si>
  <si>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</si>
  <si>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</si>
  <si>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</si>
  <si>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</si>
  <si>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</si>
  <si>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</si>
  <si>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</si>
  <si>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</si>
  <si>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</si>
  <si>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</si>
  <si>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</si>
  <si>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</si>
  <si>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</si>
  <si>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</si>
  <si>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</si>
  <si>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</si>
  <si>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</si>
  <si>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</si>
  <si>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</si>
  <si>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</si>
  <si>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</si>
  <si>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</si>
  <si>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</si>
  <si>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</si>
  <si>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</si>
  <si>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</si>
  <si>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</si>
  <si>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</si>
  <si>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</si>
  <si>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</si>
  <si>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</si>
  <si>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</si>
  <si>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</si>
  <si>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</si>
  <si>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</si>
  <si>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</si>
  <si>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</si>
  <si>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</si>
  <si>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</si>
  <si>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</si>
  <si>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</si>
  <si>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</si>
  <si>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</si>
  <si>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</si>
  <si>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</si>
  <si>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</si>
  <si>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</si>
  <si>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</si>
  <si>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</si>
  <si>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</si>
  <si>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</si>
  <si>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</si>
  <si>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</si>
  <si>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</si>
  <si>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</si>
  <si>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</si>
  <si>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</si>
  <si>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</si>
  <si>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</si>
  <si>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</si>
  <si>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</si>
  <si>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</si>
  <si>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</si>
  <si>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</si>
  <si>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</si>
  <si>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</si>
  <si>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</si>
  <si>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</si>
  <si>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</si>
  <si>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</si>
  <si>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</si>
  <si>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</si>
  <si>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</si>
  <si>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</si>
  <si>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</si>
  <si>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</si>
  <si>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</si>
  <si>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</si>
  <si>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</si>
  <si>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</si>
  <si>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</si>
  <si>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</si>
  <si>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</si>
  <si>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</si>
  <si>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</si>
  <si>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</si>
  <si>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</si>
  <si>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</si>
  <si>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</si>
  <si>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</si>
  <si>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</si>
  <si>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</si>
  <si>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</si>
  <si>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</si>
  <si>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</si>
  <si>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</si>
  <si>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</si>
  <si>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</si>
  <si>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</si>
  <si>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</si>
  <si>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</si>
  <si>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</si>
  <si>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</si>
  <si>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</si>
  <si>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</si>
  <si>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</si>
  <si>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</si>
  <si>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</si>
  <si>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</si>
  <si>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</si>
  <si>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</si>
  <si>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</si>
  <si>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</si>
  <si>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</si>
  <si>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</si>
  <si>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</si>
  <si>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</si>
  <si>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</si>
  <si>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</si>
  <si>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</si>
  <si>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</si>
  <si>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</si>
  <si>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</si>
  <si>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</si>
  <si>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</si>
  <si>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</si>
  <si>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</si>
  <si>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</si>
  <si>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</si>
  <si>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</si>
  <si>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</si>
  <si>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</si>
  <si>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</si>
  <si>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</si>
  <si>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</si>
  <si>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</si>
  <si>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</si>
  <si>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</si>
  <si>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</si>
  <si>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</si>
  <si>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</si>
  <si>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</si>
  <si>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</si>
  <si>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</si>
  <si>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</si>
  <si>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</si>
  <si>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</si>
  <si>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</si>
  <si>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</si>
  <si>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</si>
  <si>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</si>
  <si>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</si>
  <si>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</si>
  <si>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</si>
  <si>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</si>
  <si>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</si>
  <si>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</si>
  <si>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</si>
  <si>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</si>
  <si>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</si>
  <si>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</si>
  <si>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</si>
  <si>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</si>
  <si>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</si>
  <si>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</si>
  <si>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</si>
  <si>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</si>
  <si>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</si>
  <si>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</si>
  <si>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</si>
  <si>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</si>
  <si>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</si>
  <si>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</si>
  <si>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</si>
  <si>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</si>
  <si>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</si>
  <si>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</si>
  <si>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</si>
  <si>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</si>
  <si>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</si>
  <si>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</si>
  <si>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</si>
  <si>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</si>
  <si>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</si>
  <si>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</si>
  <si>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</si>
  <si>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</si>
  <si>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</si>
  <si>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</si>
  <si>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</si>
  <si>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</si>
  <si>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</si>
  <si>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</si>
  <si>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</si>
  <si>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</si>
  <si>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</si>
  <si>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</si>
  <si>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</si>
  <si>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</si>
  <si>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</si>
  <si>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</si>
  <si>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</si>
  <si>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</si>
  <si>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</si>
  <si>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</si>
  <si>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</si>
  <si>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</si>
  <si>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</si>
  <si>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</si>
  <si>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</si>
  <si>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</si>
  <si>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</si>
  <si>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</si>
  <si>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</si>
  <si>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</si>
  <si>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</si>
  <si>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</si>
  <si>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</si>
  <si>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</si>
  <si>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</si>
  <si>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</si>
  <si>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</si>
  <si>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</si>
  <si>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</si>
  <si>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</si>
  <si>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</si>
  <si>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</si>
  <si>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</si>
  <si>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</si>
  <si>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</si>
  <si>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</si>
  <si>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</si>
  <si>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</si>
  <si>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</si>
  <si>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</si>
  <si>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</si>
  <si>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</si>
  <si>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</si>
  <si>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</si>
  <si>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</si>
  <si>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</si>
  <si>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</si>
  <si>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</si>
  <si>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</si>
  <si>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</si>
  <si>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</si>
  <si>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</si>
  <si>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</si>
  <si>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</si>
  <si>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</si>
  <si>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</si>
  <si>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</si>
  <si>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</si>
  <si>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</si>
  <si>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</si>
  <si>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</si>
  <si>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</si>
  <si>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</si>
  <si>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</si>
  <si>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</si>
  <si>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</si>
  <si>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</si>
  <si>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</si>
  <si>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</si>
  <si>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</si>
  <si>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</si>
  <si>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</si>
  <si>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</si>
  <si>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</si>
  <si>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</si>
  <si>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</si>
  <si>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</si>
  <si>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</si>
  <si>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</si>
  <si>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</si>
  <si>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</si>
  <si>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</si>
  <si>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</si>
  <si>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</si>
  <si>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</si>
  <si>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</si>
  <si>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</si>
  <si>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</si>
  <si>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</si>
  <si>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</si>
  <si>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</si>
  <si>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</si>
  <si>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</si>
  <si>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</si>
  <si>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</si>
  <si>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</si>
  <si>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</si>
  <si>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</si>
  <si>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</si>
  <si>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</si>
  <si>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</si>
  <si>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</si>
  <si>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</si>
  <si>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</si>
  <si>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</si>
  <si>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</si>
  <si>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</si>
  <si>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</si>
  <si>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</si>
  <si>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</si>
  <si>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</si>
  <si>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</si>
  <si>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</si>
  <si>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</si>
  <si>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</si>
  <si>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</si>
  <si>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</si>
  <si>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</si>
  <si>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</si>
  <si>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</si>
  <si>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</si>
  <si>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</si>
  <si>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</si>
  <si>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</si>
  <si>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</si>
  <si>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</si>
  <si>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</si>
  <si>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</si>
  <si>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</si>
  <si>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</si>
  <si>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</si>
  <si>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</si>
  <si>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</si>
  <si>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</si>
  <si>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</si>
  <si>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</si>
  <si>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</si>
  <si>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</si>
  <si>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</si>
  <si>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</si>
  <si>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</si>
  <si>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</si>
  <si>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</si>
  <si>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</si>
  <si>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</si>
  <si>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</si>
  <si>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</si>
  <si>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</si>
  <si>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</si>
  <si>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</si>
  <si>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</si>
  <si>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</si>
  <si>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</si>
  <si>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</si>
  <si>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</si>
  <si>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</si>
  <si>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</si>
  <si>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</si>
  <si>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</si>
  <si>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</si>
  <si>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</si>
  <si>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</si>
  <si>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</si>
  <si>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</si>
  <si>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</si>
  <si>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</si>
  <si>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</si>
  <si>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</si>
  <si>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</si>
  <si>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</si>
  <si>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</si>
  <si>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</si>
  <si>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</si>
  <si>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</si>
  <si>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</si>
  <si>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</si>
  <si>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</si>
  <si>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</si>
  <si>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</si>
  <si>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</si>
  <si>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</si>
  <si>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</si>
  <si>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</si>
  <si>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</si>
  <si>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</si>
  <si>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</si>
  <si>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</si>
  <si>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</si>
  <si>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</si>
  <si>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</si>
  <si>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</si>
  <si>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</si>
  <si>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</si>
  <si>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</si>
  <si>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</si>
  <si>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</si>
  <si>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</si>
  <si>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</si>
  <si>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</si>
  <si>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</si>
  <si>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</si>
  <si>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</si>
  <si>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</si>
  <si>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</si>
  <si>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</si>
  <si>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</si>
  <si>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</si>
  <si>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</si>
  <si>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</si>
  <si>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</si>
  <si>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</si>
  <si>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</si>
  <si>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</si>
  <si>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</si>
  <si>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</si>
  <si>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</si>
  <si>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</si>
  <si>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</si>
  <si>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</si>
  <si>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</si>
  <si>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</si>
  <si>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</si>
  <si>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</si>
  <si>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</si>
  <si>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</si>
  <si>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</si>
  <si>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</si>
  <si>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</si>
  <si>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</si>
  <si>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</si>
  <si>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</si>
  <si>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</si>
  <si>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</si>
  <si>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</si>
  <si>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</si>
  <si>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</si>
  <si>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</si>
  <si>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</si>
  <si>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</si>
  <si>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</si>
  <si>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</si>
  <si>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</si>
  <si>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</si>
  <si>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</si>
  <si>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</si>
  <si>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</si>
  <si>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</si>
  <si>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</si>
  <si>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</si>
  <si>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</si>
  <si>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</si>
  <si>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</si>
  <si>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</si>
  <si>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</si>
  <si>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</si>
  <si>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</si>
  <si>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</si>
  <si>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</si>
  <si>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</si>
  <si>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</si>
  <si>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</si>
  <si>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</si>
  <si>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</si>
  <si>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</si>
  <si>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</si>
  <si>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</si>
  <si>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</si>
  <si>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</si>
  <si>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</si>
  <si>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</si>
  <si>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</si>
  <si>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</si>
  <si>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</si>
  <si>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</si>
  <si>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</si>
  <si>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</si>
  <si>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</si>
  <si>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</si>
  <si>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</si>
  <si>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</si>
  <si>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</si>
  <si>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</si>
  <si>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</si>
  <si>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</si>
  <si>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</si>
  <si>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</si>
  <si>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</si>
  <si>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</si>
  <si>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</si>
  <si>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</si>
  <si>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</si>
  <si>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</si>
  <si>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</si>
  <si>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</si>
  <si>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</si>
  <si>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</si>
  <si>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</si>
  <si>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</si>
  <si>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</si>
  <si>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</si>
  <si>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</si>
  <si>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</si>
  <si>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</si>
  <si>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</si>
  <si>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</si>
  <si>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</si>
  <si>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</si>
  <si>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</si>
  <si>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</si>
  <si>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</si>
  <si>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</si>
  <si>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</si>
  <si>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</si>
  <si>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</si>
  <si>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</si>
  <si>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</si>
  <si>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</si>
  <si>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</si>
  <si>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</si>
  <si>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</si>
  <si>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</si>
  <si>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</si>
  <si>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</si>
  <si>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</si>
  <si>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</si>
  <si>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</si>
  <si>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</si>
  <si>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</si>
  <si>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</si>
  <si>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</si>
  <si>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</si>
  <si>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</si>
  <si>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</si>
  <si>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</si>
  <si>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</si>
  <si>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</si>
  <si>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</si>
  <si>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</si>
  <si>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</si>
  <si>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</si>
  <si>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</si>
  <si>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</si>
  <si>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</si>
  <si>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</si>
  <si>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</si>
  <si>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</si>
  <si>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</si>
  <si>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</si>
  <si>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</si>
  <si>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</si>
  <si>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</si>
  <si>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</si>
  <si>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</si>
  <si>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</si>
  <si>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</si>
  <si>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</si>
  <si>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</si>
  <si>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</si>
  <si>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</si>
  <si>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</si>
  <si>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</si>
  <si>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</si>
  <si>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</si>
  <si>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</si>
  <si>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</si>
  <si>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</si>
  <si>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</si>
  <si>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</si>
  <si>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</si>
  <si>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</si>
  <si>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</si>
  <si>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</si>
  <si>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</si>
  <si>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</si>
  <si>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</si>
  <si>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</si>
  <si>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</si>
  <si>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</si>
  <si>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</si>
  <si>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</si>
  <si>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</si>
  <si>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</si>
  <si>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</si>
  <si>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</si>
  <si>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</si>
  <si>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</si>
  <si>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</si>
  <si>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</si>
  <si>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</si>
  <si>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</si>
  <si>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</si>
  <si>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</si>
  <si>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</si>
  <si>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</si>
  <si>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</si>
  <si>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</si>
  <si>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</si>
  <si>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</si>
  <si>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</si>
  <si>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</si>
  <si>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</si>
  <si>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</si>
  <si>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</si>
  <si>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</si>
  <si>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</si>
  <si>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</si>
  <si>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</si>
  <si>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</si>
  <si>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</si>
  <si>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</si>
  <si>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</si>
  <si>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</si>
  <si>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</si>
  <si>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</si>
  <si>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</si>
  <si>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</si>
  <si>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</si>
  <si>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</si>
  <si>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</si>
  <si>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</si>
  <si>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</si>
  <si>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</si>
  <si>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</si>
  <si>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</si>
  <si>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</si>
  <si>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</si>
  <si>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</si>
  <si>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</si>
  <si>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</si>
  <si>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</si>
  <si>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</si>
  <si>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</si>
  <si>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</si>
  <si>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</si>
  <si>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</si>
  <si>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</si>
  <si>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</si>
  <si>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</si>
  <si>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</si>
  <si>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</si>
  <si>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</si>
  <si>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</si>
  <si>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</si>
  <si>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</si>
  <si>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</si>
  <si>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</si>
  <si>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</si>
  <si>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</si>
  <si>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</si>
  <si>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</si>
  <si>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</si>
  <si>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</si>
  <si>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</si>
  <si>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</si>
  <si>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</si>
  <si>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</si>
  <si>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</si>
  <si>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</si>
  <si>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</si>
  <si>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</si>
  <si>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</si>
  <si>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</si>
  <si>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</si>
  <si>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</si>
  <si>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</si>
  <si>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</si>
  <si>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</si>
  <si>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</si>
  <si>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</si>
  <si>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</si>
  <si>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</si>
  <si>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</si>
  <si>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</si>
  <si>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</si>
  <si>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</si>
  <si>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</si>
  <si>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</si>
  <si>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</si>
  <si>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</si>
  <si>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</si>
  <si>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</si>
  <si>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</si>
  <si>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</si>
  <si>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</si>
  <si>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</si>
  <si>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</si>
  <si>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</si>
  <si>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</si>
  <si>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</si>
  <si>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</si>
  <si>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</si>
  <si>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</si>
  <si>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</si>
  <si>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</si>
  <si>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</si>
  <si>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</si>
  <si>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</si>
  <si>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</si>
  <si>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</si>
  <si>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</si>
  <si>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</si>
  <si>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</si>
  <si>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</si>
  <si>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</si>
  <si>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</si>
  <si>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</si>
  <si>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</si>
  <si>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</si>
  <si>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</si>
  <si>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</si>
  <si>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</si>
  <si>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</si>
  <si>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</si>
  <si>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</si>
  <si>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</si>
  <si>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</si>
  <si>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</si>
  <si>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</si>
  <si>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</si>
  <si>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</si>
  <si>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</si>
  <si>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</si>
  <si>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</si>
  <si>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</si>
  <si>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</si>
  <si>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</si>
  <si>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</si>
  <si>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</si>
  <si>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</si>
  <si>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</si>
  <si>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</si>
  <si>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</si>
  <si>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</si>
  <si>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</si>
  <si>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</si>
  <si>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</si>
  <si>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</si>
  <si>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</si>
  <si>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</si>
  <si>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</si>
  <si>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</si>
  <si>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</si>
  <si>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</si>
  <si>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</si>
  <si>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</si>
  <si>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</si>
  <si>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</si>
  <si>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</si>
  <si>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</si>
  <si>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</si>
  <si>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</si>
  <si>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</si>
  <si>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</si>
  <si>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</si>
  <si>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</si>
  <si>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</si>
  <si>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</si>
  <si>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</si>
  <si>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</si>
  <si>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</si>
  <si>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</si>
  <si>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</si>
  <si>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</si>
  <si>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</si>
  <si>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</si>
  <si>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</si>
  <si>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</si>
  <si>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</si>
  <si>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</si>
  <si>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</si>
  <si>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</si>
  <si>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</si>
  <si>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</si>
  <si>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</si>
  <si>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</si>
  <si>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</si>
  <si>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</si>
  <si>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</si>
  <si>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</si>
  <si>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</si>
  <si>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</si>
  <si>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</si>
  <si>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</si>
  <si>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</si>
  <si>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</si>
  <si>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</si>
  <si>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</si>
  <si>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</si>
  <si>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</si>
  <si>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</si>
  <si>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</si>
  <si>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</si>
  <si>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</si>
  <si>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</si>
  <si>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</si>
  <si>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</si>
  <si>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</si>
  <si>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</si>
  <si>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</si>
  <si>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</si>
  <si>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</si>
  <si>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</si>
  <si>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</si>
  <si>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</si>
  <si>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</si>
  <si>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</si>
  <si>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</si>
  <si>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</si>
  <si>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</si>
  <si>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</si>
  <si>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</si>
  <si>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</si>
  <si>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</si>
  <si>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</si>
  <si>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</si>
  <si>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</si>
  <si>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</si>
  <si>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</si>
  <si>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</si>
  <si>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</si>
  <si>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</si>
  <si>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</si>
  <si>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</si>
  <si>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</si>
  <si>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</si>
  <si>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</si>
  <si>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</si>
  <si>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</si>
  <si>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</si>
  <si>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</si>
  <si>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</si>
  <si>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</si>
  <si>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</si>
  <si>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</si>
  <si>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</si>
  <si>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</si>
  <si>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</si>
  <si>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</si>
  <si>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</si>
  <si>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</si>
  <si>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</si>
  <si>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</si>
  <si>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</si>
  <si>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</si>
  <si>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</si>
  <si>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</si>
  <si>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</si>
  <si>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</si>
  <si>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</si>
  <si>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</si>
  <si>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</si>
  <si>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</si>
  <si>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</si>
  <si>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</si>
  <si>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</si>
  <si>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</si>
  <si>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</si>
  <si>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</si>
  <si>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</si>
  <si>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</si>
  <si>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</si>
  <si>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</si>
  <si>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</si>
  <si>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</si>
  <si>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</si>
  <si>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</si>
  <si>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</si>
  <si>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</si>
  <si>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</si>
  <si>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</si>
  <si>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</si>
  <si>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</si>
  <si>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</si>
  <si>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</si>
  <si>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</si>
  <si>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</si>
  <si>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</si>
  <si>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</si>
  <si>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</si>
  <si>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</si>
  <si>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</si>
  <si>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</si>
  <si>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</si>
  <si>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</si>
  <si>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</si>
  <si>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</si>
  <si>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</si>
  <si>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</si>
  <si>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</si>
  <si>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</si>
  <si>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</si>
  <si>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</si>
  <si>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</si>
  <si>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</si>
  <si>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</si>
  <si>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</si>
  <si>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</si>
  <si>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</si>
  <si>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</si>
  <si>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</si>
  <si>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</si>
  <si>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</si>
  <si>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</si>
  <si>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</si>
  <si>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</si>
  <si>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</si>
  <si>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</si>
  <si>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</si>
  <si>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</si>
  <si>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</si>
  <si>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</si>
  <si>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</si>
  <si>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</si>
  <si>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</si>
  <si>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</si>
  <si>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</si>
  <si>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</si>
  <si>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</si>
  <si>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</si>
  <si>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</si>
  <si>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</si>
  <si>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</si>
  <si>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</si>
  <si>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</si>
  <si>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</si>
  <si>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</si>
  <si>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</si>
  <si>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</si>
  <si>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</si>
  <si>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</si>
  <si>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</si>
  <si>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</si>
  <si>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</si>
  <si>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</si>
  <si>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</si>
  <si>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</si>
  <si>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</si>
  <si>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</si>
  <si>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</si>
  <si>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</si>
  <si>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</si>
  <si>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</si>
  <si>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</si>
  <si>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</si>
  <si>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</si>
  <si>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</si>
  <si>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</si>
  <si>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</si>
  <si>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</si>
  <si>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</si>
  <si>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</si>
  <si>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</si>
  <si>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</si>
  <si>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</si>
  <si>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</si>
  <si>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</si>
  <si>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</si>
  <si>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</si>
  <si>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</si>
  <si>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</si>
  <si>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</si>
  <si>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</si>
  <si>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</si>
  <si>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</si>
  <si>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</si>
  <si>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</si>
  <si>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</si>
  <si>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</si>
  <si>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</si>
  <si>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</si>
  <si>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</si>
  <si>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</si>
  <si>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</si>
  <si>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</si>
  <si>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</si>
  <si>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</si>
  <si>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</si>
  <si>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</si>
  <si>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</si>
  <si>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</si>
  <si>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</si>
  <si>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</si>
  <si>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</si>
  <si>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</si>
  <si>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</si>
  <si>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</si>
  <si>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</si>
  <si>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</si>
  <si>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</si>
  <si>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</si>
  <si>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</si>
  <si>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</si>
  <si>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</si>
  <si>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</si>
  <si>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</si>
  <si>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</si>
  <si>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</si>
  <si>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</si>
  <si>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</si>
  <si>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</si>
  <si>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</si>
  <si>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</si>
  <si>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</si>
  <si>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</si>
  <si>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</si>
  <si>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</si>
  <si>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</si>
  <si>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</si>
  <si>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</si>
  <si>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</si>
  <si>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</si>
  <si>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</si>
  <si>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</si>
  <si>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</si>
  <si>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</si>
  <si>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</si>
  <si>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</si>
  <si>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</si>
  <si>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</si>
  <si>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</si>
  <si>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</si>
  <si>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</si>
  <si>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</si>
  <si>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</si>
  <si>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</si>
  <si>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</si>
  <si>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</si>
  <si>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</si>
  <si>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</si>
  <si>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</si>
  <si>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</si>
  <si>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</si>
  <si>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</si>
  <si>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</si>
  <si>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</si>
  <si>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</si>
  <si>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</si>
  <si>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</si>
  <si>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</si>
  <si>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</si>
  <si>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</si>
  <si>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</si>
  <si>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</si>
  <si>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</si>
  <si>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</si>
  <si>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</si>
  <si>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</si>
  <si>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</si>
  <si>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</si>
  <si>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</si>
  <si>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</si>
  <si>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</si>
  <si>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</si>
  <si>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</si>
  <si>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</si>
  <si>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</si>
  <si>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</si>
  <si>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</si>
  <si>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</si>
  <si>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</si>
  <si>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</si>
  <si>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</si>
  <si>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</si>
  <si>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</si>
  <si>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</si>
  <si>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</si>
  <si>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</si>
  <si>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</si>
  <si>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</si>
  <si>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</si>
  <si>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</si>
  <si>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</si>
  <si>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</si>
  <si>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</si>
  <si>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</si>
  <si>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</si>
  <si>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</si>
  <si>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</si>
  <si>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</si>
  <si>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</si>
  <si>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</si>
  <si>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</si>
  <si>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</si>
  <si>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</si>
  <si>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</si>
  <si>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</si>
  <si>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</si>
  <si>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</si>
  <si>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</si>
  <si>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</si>
  <si>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</si>
  <si>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</si>
  <si>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</si>
  <si>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</si>
  <si>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</si>
  <si>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</si>
  <si>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</si>
  <si>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</si>
  <si>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</si>
  <si>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</si>
  <si>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</si>
  <si>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</si>
  <si>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</si>
  <si>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</si>
  <si>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</si>
  <si>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</si>
  <si>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</si>
  <si>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</si>
  <si>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</si>
  <si>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</si>
  <si>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</si>
  <si>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</si>
  <si>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</si>
  <si>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</si>
  <si>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</si>
  <si>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</si>
  <si>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</si>
  <si>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</si>
  <si>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</si>
  <si>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</si>
  <si>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</si>
  <si>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</si>
  <si>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</si>
  <si>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</si>
  <si>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</si>
  <si>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</si>
  <si>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</si>
  <si>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</si>
  <si>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</si>
  <si>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</si>
  <si>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</si>
  <si>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</si>
  <si>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</si>
  <si>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</si>
  <si>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</si>
  <si>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</si>
  <si>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</si>
  <si>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</si>
  <si>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</si>
  <si>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</si>
  <si>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</si>
  <si>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</si>
  <si>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</si>
  <si>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</si>
  <si>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</si>
  <si>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</si>
  <si>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</si>
  <si>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</si>
  <si>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</si>
  <si>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</si>
  <si>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</si>
  <si>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</si>
  <si>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</si>
  <si>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</si>
  <si>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</si>
  <si>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</si>
  <si>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</si>
  <si>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</si>
  <si>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</si>
  <si>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</si>
  <si>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</si>
  <si>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</si>
  <si>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</si>
  <si>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</si>
  <si>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</si>
  <si>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</si>
  <si>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</si>
  <si>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</si>
  <si>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</si>
  <si>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</si>
  <si>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</si>
  <si>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</si>
  <si>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</si>
  <si>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</si>
  <si>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</si>
  <si>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</si>
  <si>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</si>
  <si>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</si>
  <si>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</si>
  <si>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</si>
  <si>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</si>
  <si>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</si>
  <si>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</si>
  <si>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</si>
  <si>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</si>
  <si>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</si>
  <si>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</si>
  <si>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</si>
  <si>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</si>
  <si>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</si>
  <si>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</si>
  <si>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</si>
  <si>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</si>
  <si>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</si>
  <si>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</si>
  <si>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</si>
  <si>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</si>
  <si>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</si>
  <si>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</si>
  <si>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</si>
  <si>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</si>
  <si>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</si>
  <si>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</si>
  <si>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</si>
  <si>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</si>
  <si>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</si>
  <si>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</si>
  <si>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</si>
  <si>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</si>
  <si>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</si>
  <si>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</si>
  <si>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</si>
  <si>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</si>
  <si>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</si>
  <si>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</si>
  <si>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</si>
  <si>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</si>
  <si>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</si>
  <si>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</si>
  <si>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</si>
  <si>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</si>
  <si>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</si>
  <si>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</si>
  <si>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</si>
  <si>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</si>
  <si>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</si>
  <si>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</si>
  <si>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</si>
  <si>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</si>
  <si>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</si>
  <si>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</si>
  <si>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</si>
  <si>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</si>
  <si>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</si>
  <si>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</si>
  <si>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</si>
  <si>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</si>
  <si>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</si>
  <si>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</si>
  <si>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</si>
  <si>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</si>
  <si>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</si>
  <si>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</si>
  <si>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</si>
  <si>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</si>
  <si>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</si>
  <si>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</si>
  <si>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</si>
  <si>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</si>
  <si>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</si>
  <si>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</si>
  <si>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</si>
  <si>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</si>
  <si>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</si>
  <si>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</si>
  <si>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</si>
  <si>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</si>
  <si>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</si>
  <si>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</si>
  <si>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</si>
  <si>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</si>
  <si>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</si>
  <si>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</si>
  <si>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</si>
  <si>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</si>
  <si>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</si>
  <si>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</si>
  <si>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</si>
  <si>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</si>
  <si>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</si>
  <si>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</si>
  <si>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</si>
  <si>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</si>
  <si>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</si>
  <si>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</si>
  <si>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</si>
  <si>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</si>
  <si>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</si>
  <si>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</si>
  <si>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</si>
  <si>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</si>
  <si>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</si>
  <si>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</si>
  <si>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</si>
  <si>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</si>
  <si>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</si>
  <si>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</si>
  <si>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</si>
  <si>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</si>
  <si>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</si>
  <si>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</si>
  <si>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</si>
  <si>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</si>
  <si>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</si>
  <si>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</si>
  <si>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</si>
  <si>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</si>
  <si>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</si>
  <si>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</si>
  <si>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</si>
  <si>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</si>
  <si>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</si>
  <si>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</si>
  <si>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</si>
  <si>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</si>
  <si>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</si>
  <si>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</si>
  <si>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</si>
  <si>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</si>
  <si>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</si>
  <si>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</si>
  <si>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</si>
  <si>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</si>
  <si>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</si>
  <si>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</si>
  <si>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</si>
  <si>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</si>
  <si>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</si>
  <si>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</si>
  <si>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</si>
  <si>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</si>
  <si>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</si>
  <si>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</si>
  <si>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</si>
  <si>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</si>
  <si>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</si>
  <si>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</si>
  <si>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</si>
  <si>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</si>
  <si>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</si>
  <si>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</si>
  <si>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</si>
  <si>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</si>
  <si>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</si>
  <si>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</si>
  <si>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</si>
  <si>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</si>
  <si>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</si>
  <si>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</si>
  <si>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</si>
  <si>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</si>
  <si>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</si>
  <si>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</si>
  <si>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</si>
  <si>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</si>
  <si>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</si>
  <si>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</si>
  <si>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</si>
  <si>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</si>
  <si>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</si>
  <si>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</si>
  <si>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</si>
  <si>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</si>
  <si>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</si>
  <si>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</si>
  <si>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</si>
  <si>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</si>
  <si>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</si>
  <si>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</si>
  <si>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</si>
  <si>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</si>
  <si>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</si>
  <si>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</si>
  <si>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</si>
  <si>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</si>
  <si>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</si>
  <si>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</si>
  <si>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</si>
  <si>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</si>
  <si>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</si>
  <si>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</si>
  <si>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</si>
  <si>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</si>
  <si>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</si>
  <si>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</si>
  <si>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</si>
  <si>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</si>
  <si>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</si>
  <si>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</si>
  <si>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</si>
  <si>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</si>
  <si>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</si>
  <si>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</si>
  <si>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</si>
  <si>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</si>
  <si>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</si>
  <si>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</si>
  <si>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</si>
  <si>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</si>
  <si>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</si>
  <si>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</si>
  <si>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</si>
  <si>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</si>
  <si>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</si>
  <si>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</si>
  <si>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</si>
  <si>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</si>
  <si>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</si>
  <si>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</si>
  <si>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</si>
  <si>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</si>
  <si>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</si>
  <si>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</si>
  <si>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</si>
  <si>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</si>
  <si>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</si>
  <si>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</si>
  <si>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</si>
  <si>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</si>
  <si>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</si>
  <si>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</si>
  <si>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</si>
  <si>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</si>
  <si>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</si>
  <si>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</si>
  <si>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</si>
  <si>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</si>
  <si>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</si>
  <si>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</si>
  <si>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</si>
  <si>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</si>
  <si>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</si>
  <si>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</si>
  <si>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</si>
  <si>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</si>
  <si>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</si>
  <si>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</si>
  <si>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</si>
  <si>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</si>
  <si>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</si>
  <si>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</si>
  <si>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</si>
  <si>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</si>
  <si>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</si>
  <si>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</si>
  <si>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</si>
  <si>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</si>
  <si>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</si>
  <si>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</si>
  <si>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</si>
  <si>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</si>
  <si>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</si>
  <si>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</si>
  <si>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</si>
  <si>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</si>
  <si>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</si>
  <si>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</si>
  <si>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</si>
  <si>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</si>
  <si>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</si>
  <si>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</si>
  <si>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</si>
  <si>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</si>
  <si>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</si>
  <si>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</si>
  <si>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</si>
  <si>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</si>
  <si>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</si>
  <si>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</si>
  <si>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</si>
  <si>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</si>
  <si>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</si>
  <si>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</si>
  <si>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</si>
  <si>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</si>
  <si>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</si>
  <si>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</si>
  <si>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</si>
  <si>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</si>
  <si>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</si>
  <si>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</si>
  <si>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</si>
  <si>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</si>
  <si>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</si>
  <si>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</si>
  <si>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</si>
  <si>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</si>
  <si>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</si>
  <si>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</si>
  <si>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</si>
  <si>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</si>
  <si>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</si>
  <si>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</si>
  <si>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</si>
  <si>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</si>
  <si>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</si>
  <si>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</si>
  <si>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</si>
  <si>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</si>
  <si>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</si>
  <si>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</si>
  <si>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</si>
  <si>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</si>
  <si>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</si>
  <si>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</si>
  <si>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</si>
  <si>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</si>
  <si>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</si>
  <si>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</si>
  <si>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</si>
  <si>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</si>
  <si>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</si>
  <si>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</si>
  <si>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</si>
  <si>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</si>
  <si>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</si>
  <si>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</si>
  <si>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</si>
  <si>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</si>
  <si>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</si>
  <si>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</si>
  <si>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</si>
  <si>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</si>
  <si>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</si>
  <si>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</si>
  <si>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</si>
  <si>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</si>
  <si>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</si>
  <si>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</si>
  <si>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</si>
  <si>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</si>
  <si>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</si>
  <si>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</si>
  <si>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</si>
  <si>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</si>
  <si>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</si>
  <si>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</si>
  <si>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</si>
  <si>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</si>
  <si>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</si>
  <si>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</si>
  <si>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</si>
  <si>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</si>
  <si>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</si>
  <si>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</si>
  <si>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</si>
  <si>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</si>
  <si>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</si>
  <si>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</si>
  <si>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</si>
  <si>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</si>
  <si>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</si>
  <si>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</si>
  <si>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</si>
  <si>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</si>
  <si>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</si>
  <si>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</si>
  <si>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</si>
  <si>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</si>
  <si>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</si>
  <si>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</si>
  <si>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</si>
  <si>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</si>
  <si>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</si>
  <si>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</si>
  <si>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</si>
  <si>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</si>
  <si>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</si>
  <si>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</si>
  <si>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</si>
  <si>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</si>
  <si>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</si>
  <si>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</si>
  <si>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</si>
  <si>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</si>
  <si>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</si>
  <si>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</si>
  <si>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</si>
  <si>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</si>
  <si>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</si>
  <si>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</si>
  <si>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</si>
  <si>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</si>
  <si>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</si>
  <si>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</si>
  <si>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</si>
  <si>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</si>
  <si>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</si>
  <si>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</si>
  <si>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</si>
  <si>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</si>
  <si>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</si>
  <si>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</si>
  <si>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</si>
  <si>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</si>
  <si>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</si>
  <si>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</si>
  <si>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</si>
  <si>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</si>
  <si>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</si>
  <si>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</si>
  <si>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</si>
  <si>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</si>
  <si>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</si>
  <si>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</si>
  <si>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</si>
  <si>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</si>
  <si>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</si>
  <si>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</si>
  <si>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</si>
  <si>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</si>
  <si>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</si>
  <si>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</si>
  <si>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</si>
  <si>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</si>
  <si>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</si>
  <si>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</si>
  <si>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</si>
  <si>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</si>
  <si>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</si>
  <si>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</si>
  <si>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</si>
  <si>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</si>
  <si>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</si>
  <si>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</si>
  <si>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</si>
  <si>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</si>
  <si>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</si>
  <si>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</si>
  <si>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</si>
  <si>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</si>
  <si>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</si>
  <si>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</si>
  <si>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</si>
  <si>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</si>
  <si>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</si>
  <si>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</si>
  <si>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</si>
  <si>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</si>
  <si>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</si>
  <si>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</si>
  <si>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</si>
  <si>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</si>
  <si>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</si>
  <si>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</si>
  <si>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</si>
  <si>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</si>
  <si>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</si>
  <si>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</si>
  <si>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</si>
  <si>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</si>
  <si>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</si>
  <si>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</si>
  <si>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</si>
  <si>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</si>
  <si>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</si>
  <si>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</si>
  <si>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</si>
  <si>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</si>
  <si>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</si>
  <si>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</si>
  <si>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</si>
  <si>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</si>
  <si>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</si>
  <si>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</si>
  <si>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</si>
  <si>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</si>
  <si>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</si>
  <si>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</si>
  <si>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</si>
  <si>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</si>
  <si>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</si>
  <si>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</si>
  <si>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</si>
  <si>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</si>
  <si>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</si>
  <si>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</si>
  <si>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</si>
  <si>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</si>
  <si>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</si>
  <si>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</si>
  <si>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</si>
  <si>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</si>
  <si>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</si>
  <si>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</si>
  <si>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</si>
  <si>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</si>
  <si>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</si>
  <si>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</si>
  <si>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</si>
  <si>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</si>
  <si>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</si>
  <si>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</si>
  <si>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</si>
  <si>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</si>
  <si>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</si>
  <si>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</si>
  <si>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</si>
  <si>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</si>
  <si>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</si>
  <si>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</si>
  <si>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</si>
  <si>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</si>
  <si>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</si>
  <si>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</si>
  <si>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</si>
  <si>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</si>
  <si>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</si>
  <si>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</si>
  <si>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</si>
  <si>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</si>
  <si>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</si>
  <si>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</si>
  <si>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</si>
  <si>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</si>
  <si>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</si>
  <si>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</si>
  <si>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</si>
  <si>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</si>
  <si>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</si>
  <si>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</si>
  <si>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</si>
  <si>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</si>
  <si>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</si>
  <si>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</si>
  <si>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</si>
  <si>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</si>
  <si>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</si>
  <si>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</si>
  <si>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</si>
  <si>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</si>
  <si>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</si>
  <si>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</si>
  <si>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</si>
  <si>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</si>
  <si>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</si>
  <si>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</si>
  <si>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</si>
  <si>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</si>
  <si>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</si>
  <si>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</si>
  <si>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</si>
  <si>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</si>
  <si>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</si>
  <si>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</si>
  <si>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</si>
  <si>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</si>
  <si>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</si>
  <si>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</si>
  <si>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</si>
  <si>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</si>
  <si>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</si>
  <si>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</si>
  <si>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</si>
  <si>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</si>
  <si>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</si>
  <si>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</si>
  <si>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</si>
  <si>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</si>
  <si>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</si>
  <si>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</si>
  <si>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</si>
  <si>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</si>
  <si>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</si>
  <si>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</si>
  <si>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</si>
  <si>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</si>
  <si>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</si>
  <si>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</si>
  <si>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</si>
  <si>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</si>
  <si>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</si>
  <si>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</si>
  <si>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</si>
  <si>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</si>
  <si>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</si>
  <si>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</si>
  <si>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</si>
  <si>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</si>
  <si>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</si>
  <si>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</si>
  <si>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</si>
  <si>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</si>
  <si>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</si>
  <si>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</si>
  <si>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</si>
  <si>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</si>
  <si>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</si>
  <si>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</si>
  <si>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</si>
  <si>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</si>
  <si>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</si>
  <si>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</si>
  <si>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</si>
  <si>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</si>
  <si>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</si>
  <si>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</si>
  <si>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</si>
  <si>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</si>
  <si>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</si>
  <si>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</si>
  <si>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</si>
  <si>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</si>
  <si>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</si>
  <si>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</si>
  <si>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</si>
  <si>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</si>
  <si>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</si>
  <si>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</si>
  <si>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</si>
  <si>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</si>
  <si>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</si>
  <si>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</si>
  <si>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</si>
  <si>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</si>
  <si>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</si>
  <si>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</si>
  <si>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</si>
  <si>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</si>
  <si>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</si>
  <si>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</si>
  <si>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</si>
  <si>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</si>
  <si>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</si>
  <si>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</si>
  <si>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</si>
  <si>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</si>
  <si>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</si>
  <si>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</si>
  <si>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</si>
  <si>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</si>
  <si>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</si>
  <si>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</si>
  <si>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</si>
  <si>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</si>
  <si>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</si>
  <si>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</si>
  <si>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</si>
  <si>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</si>
  <si>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</si>
  <si>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</si>
  <si>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</si>
  <si>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</si>
  <si>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</si>
  <si>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</si>
  <si>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</si>
  <si>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</si>
  <si>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</si>
  <si>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</si>
  <si>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</si>
  <si>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</si>
  <si>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</si>
  <si>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</si>
  <si>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</si>
  <si>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</si>
  <si>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</si>
  <si>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</si>
  <si>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</si>
  <si>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</si>
  <si>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</si>
  <si>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</si>
  <si>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</si>
  <si>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</si>
  <si>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</si>
  <si>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</si>
  <si>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</si>
  <si>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</si>
  <si>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</si>
  <si>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</si>
  <si>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</si>
  <si>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</si>
  <si>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</si>
  <si>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</si>
  <si>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</si>
  <si>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</si>
  <si>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</si>
  <si>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</si>
  <si>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</si>
  <si>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</si>
  <si>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</si>
  <si>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</si>
  <si>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</si>
  <si>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</si>
  <si>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</si>
  <si>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</si>
  <si>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</si>
  <si>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</si>
  <si>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</si>
  <si>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</si>
  <si>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</si>
  <si>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</si>
  <si>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</si>
  <si>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</si>
  <si>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</si>
  <si>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</si>
  <si>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</si>
  <si>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</si>
  <si>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</si>
  <si>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</si>
  <si>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</si>
  <si>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</si>
  <si>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</si>
  <si>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</si>
  <si>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</si>
  <si>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</si>
  <si>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</si>
  <si>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</si>
  <si>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</si>
  <si>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</si>
  <si>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</si>
  <si>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</si>
  <si>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</si>
  <si>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</si>
  <si>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</si>
  <si>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</si>
  <si>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</si>
  <si>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</si>
  <si>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</si>
  <si>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</si>
  <si>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</si>
  <si>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</si>
  <si>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</si>
  <si>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</si>
  <si>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</si>
  <si>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</si>
  <si>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</si>
  <si>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</si>
  <si>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</si>
  <si>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</si>
  <si>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</si>
  <si>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</si>
  <si>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</si>
  <si>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</si>
  <si>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</si>
  <si>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</si>
  <si>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</si>
  <si>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</si>
  <si>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</si>
  <si>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</si>
  <si>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</si>
  <si>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</si>
  <si>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</si>
  <si>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</si>
  <si>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</si>
  <si>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</si>
  <si>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</si>
  <si>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</si>
  <si>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</si>
  <si>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</si>
  <si>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</si>
  <si>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</si>
  <si>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</si>
  <si>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</si>
  <si>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</si>
  <si>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</si>
  <si>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</si>
  <si>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</si>
  <si>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</si>
  <si>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</si>
  <si>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</si>
  <si>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</si>
  <si>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</si>
  <si>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</si>
  <si>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</si>
  <si>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</si>
  <si>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</si>
  <si>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</si>
  <si>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</si>
  <si>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</si>
  <si>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</si>
  <si>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</si>
  <si>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</si>
  <si>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</si>
  <si>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</si>
  <si>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</si>
  <si>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</si>
  <si>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</si>
  <si>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</si>
  <si>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</si>
  <si>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</si>
  <si>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</si>
  <si>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</si>
  <si>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</si>
  <si>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</si>
  <si>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</si>
  <si>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</si>
  <si>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</si>
  <si>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</si>
  <si>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</si>
  <si>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</si>
  <si>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</si>
  <si>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</si>
  <si>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</si>
  <si>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</si>
  <si>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</si>
  <si>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</si>
  <si>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</si>
  <si>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</si>
  <si>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</si>
  <si>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</si>
  <si>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</si>
  <si>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</si>
  <si>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</si>
  <si>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</si>
  <si>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</si>
  <si>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</si>
  <si>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</si>
  <si>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</si>
  <si>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</si>
  <si>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</si>
  <si>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</si>
  <si>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</si>
  <si>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</si>
  <si>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</si>
  <si>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</si>
  <si>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</si>
  <si>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</si>
  <si>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</si>
  <si>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</si>
  <si>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</si>
  <si>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</si>
  <si>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</si>
  <si>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</si>
  <si>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</si>
  <si>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</si>
  <si>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</si>
  <si>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</si>
  <si>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</si>
  <si>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</si>
  <si>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</si>
  <si>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</si>
  <si>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</si>
  <si>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</si>
  <si>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</si>
  <si>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</si>
  <si>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</si>
  <si>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</si>
  <si>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</si>
  <si>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</si>
  <si>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</si>
  <si>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</si>
  <si>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</si>
  <si>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</si>
  <si>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</si>
  <si>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</si>
  <si>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</si>
  <si>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</si>
  <si>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</si>
  <si>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</si>
  <si>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</si>
  <si>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</si>
  <si>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</si>
  <si>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</si>
  <si>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</si>
  <si>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</si>
  <si>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</si>
  <si>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</si>
  <si>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</si>
  <si>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</si>
  <si>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</si>
  <si>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</si>
  <si>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</si>
  <si>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</si>
  <si>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</si>
  <si>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</si>
  <si>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</si>
  <si>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</si>
  <si>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</si>
  <si>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</si>
  <si>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</si>
  <si>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</si>
  <si>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</si>
  <si>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</si>
  <si>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</si>
  <si>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</si>
  <si>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</si>
  <si>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</si>
  <si>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</si>
  <si>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</si>
  <si>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</si>
  <si>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</si>
  <si>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</si>
  <si>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</si>
  <si>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</si>
  <si>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</si>
  <si>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</si>
  <si>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</si>
  <si>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</si>
  <si>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</si>
  <si>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</si>
  <si>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</si>
  <si>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</si>
  <si>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</si>
  <si>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</si>
  <si>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</si>
  <si>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</si>
  <si>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</si>
  <si>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</si>
  <si>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</si>
  <si>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</si>
  <si>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</si>
  <si>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</si>
  <si>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</si>
  <si>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</si>
  <si>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</si>
  <si>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</si>
  <si>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</si>
  <si>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</si>
  <si>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</si>
  <si>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</si>
  <si>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</si>
  <si>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</si>
  <si>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</si>
  <si>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</si>
  <si>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</si>
  <si>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</si>
  <si>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</si>
  <si>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</si>
  <si>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</si>
  <si>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</si>
  <si>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</si>
  <si>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</si>
  <si>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</si>
  <si>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</si>
  <si>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</si>
  <si>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</si>
  <si>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</si>
  <si>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</si>
  <si>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</si>
  <si>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</si>
  <si>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</si>
  <si>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</si>
  <si>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</si>
  <si>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</si>
  <si>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</si>
  <si>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</si>
  <si>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</si>
  <si>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</si>
  <si>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</si>
  <si>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</si>
  <si>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</si>
  <si>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</si>
  <si>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</si>
  <si>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</si>
  <si>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</si>
  <si>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</si>
  <si>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</si>
  <si>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</si>
  <si>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</si>
  <si>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</si>
  <si>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</si>
  <si>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</si>
  <si>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</si>
  <si>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</si>
  <si>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</si>
  <si>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</si>
  <si>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</si>
  <si>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</si>
  <si>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</si>
  <si>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</si>
  <si>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</si>
  <si>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</si>
  <si>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</si>
  <si>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</si>
  <si>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</si>
  <si>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</si>
  <si>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</si>
  <si>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</si>
  <si>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</si>
  <si>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</si>
  <si>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</si>
  <si>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</si>
  <si>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</si>
  <si>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</si>
  <si>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</si>
  <si>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</si>
  <si>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</si>
  <si>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</si>
  <si>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</si>
  <si>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</si>
  <si>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</si>
  <si>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</si>
  <si>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</si>
  <si>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</si>
  <si>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</si>
  <si>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</si>
  <si>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</si>
  <si>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</si>
  <si>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</si>
  <si>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</si>
  <si>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</si>
  <si>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</si>
  <si>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</si>
  <si>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</si>
  <si>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</si>
  <si>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</si>
  <si>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</si>
  <si>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</si>
  <si>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</si>
  <si>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</si>
  <si>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</si>
  <si>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</si>
  <si>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</si>
  <si>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</si>
  <si>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</si>
  <si>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</si>
  <si>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</si>
  <si>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</si>
  <si>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</si>
  <si>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</si>
  <si>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</si>
  <si>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</si>
  <si>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</si>
  <si>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</si>
  <si>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</si>
  <si>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</si>
  <si>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</si>
  <si>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</si>
  <si>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</si>
  <si>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</si>
  <si>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</si>
  <si>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</si>
  <si>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</si>
  <si>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</si>
  <si>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</si>
  <si>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</si>
  <si>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</si>
  <si>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</si>
  <si>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</si>
  <si>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</si>
  <si>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</si>
  <si>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</si>
  <si>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</si>
  <si>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</si>
  <si>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</si>
  <si>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</si>
  <si>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</si>
  <si>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</si>
  <si>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</si>
  <si>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</si>
  <si>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</si>
  <si>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</si>
  <si>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</si>
  <si>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</si>
  <si>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</si>
  <si>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</si>
  <si>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</si>
  <si>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</si>
  <si>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</si>
  <si>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</si>
  <si>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</si>
  <si>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</si>
  <si>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</si>
  <si>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</si>
  <si>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</si>
  <si>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</si>
  <si>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</si>
  <si>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</si>
  <si>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</si>
  <si>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</si>
  <si>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</si>
  <si>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</si>
  <si>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</si>
  <si>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</si>
  <si>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</si>
  <si>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</si>
  <si>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</si>
  <si>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</si>
  <si>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</si>
  <si>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</si>
  <si>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</si>
  <si>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</si>
  <si>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</si>
  <si>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</si>
  <si>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</si>
  <si>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</si>
  <si>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</si>
  <si>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</si>
  <si>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</si>
  <si>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</si>
  <si>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</si>
  <si>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</si>
  <si>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</si>
  <si>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</si>
  <si>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</si>
  <si>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</si>
  <si>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</si>
  <si>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</si>
  <si>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</si>
  <si>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</si>
  <si>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</si>
  <si>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</si>
  <si>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</si>
  <si>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</si>
  <si>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</si>
  <si>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</si>
  <si>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</si>
  <si>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</si>
  <si>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</si>
  <si>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</si>
  <si>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</si>
  <si>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</si>
  <si>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</si>
  <si>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</si>
  <si>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</si>
  <si>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</si>
  <si>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</si>
  <si>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</si>
  <si>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</si>
  <si>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</si>
  <si>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</si>
  <si>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</si>
  <si>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</si>
  <si>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</si>
  <si>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</si>
  <si>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</si>
  <si>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</si>
  <si>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</si>
  <si>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</si>
  <si>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</si>
  <si>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</si>
  <si>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</si>
  <si>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</si>
  <si>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</si>
  <si>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</si>
  <si>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</si>
  <si>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</si>
  <si>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</si>
  <si>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</si>
  <si>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</si>
  <si>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</si>
  <si>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</si>
  <si>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</si>
  <si>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</si>
  <si>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</si>
  <si>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</si>
  <si>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</si>
  <si>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</si>
  <si>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</si>
  <si>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</si>
  <si>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</si>
  <si>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</si>
  <si>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</si>
  <si>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</si>
  <si>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</si>
  <si>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</si>
  <si>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</si>
  <si>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</si>
  <si>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</si>
  <si>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</si>
  <si>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</si>
  <si>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</si>
  <si>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</si>
  <si>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</si>
  <si>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</si>
  <si>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</si>
  <si>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</si>
  <si>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</si>
  <si>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</si>
  <si>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</si>
  <si>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</si>
  <si>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</si>
  <si>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</si>
  <si>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</si>
  <si>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</si>
  <si>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</si>
  <si>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</si>
  <si>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</si>
  <si>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</si>
  <si>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</si>
  <si>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</si>
  <si>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</si>
  <si>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</si>
  <si>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</si>
  <si>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</si>
  <si>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</si>
  <si>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</si>
  <si>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</si>
  <si>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</si>
  <si>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</si>
  <si>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</si>
  <si>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</si>
  <si>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</si>
  <si>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</si>
  <si>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</si>
  <si>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</si>
  <si>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</si>
  <si>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</si>
  <si>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</si>
  <si>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</si>
  <si>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</si>
  <si>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</si>
  <si>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</si>
  <si>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</si>
  <si>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</si>
  <si>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</si>
  <si>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</si>
  <si>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</si>
  <si>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</si>
  <si>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</si>
  <si>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</si>
  <si>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</si>
  <si>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</si>
  <si>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</si>
  <si>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</si>
  <si>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</si>
  <si>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</si>
  <si>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</si>
  <si>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</si>
  <si>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</si>
  <si>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</si>
  <si>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</si>
  <si>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</si>
  <si>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</si>
  <si>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</si>
  <si>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</si>
  <si>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</si>
  <si>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</si>
  <si>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</si>
  <si>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</si>
  <si>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</si>
  <si>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</si>
  <si>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</si>
  <si>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</si>
  <si>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</si>
  <si>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</si>
  <si>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</si>
  <si>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</si>
  <si>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</si>
  <si>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</si>
  <si>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</si>
  <si>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</si>
  <si>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</si>
  <si>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</si>
  <si>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</si>
  <si>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</si>
  <si>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</si>
  <si>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</si>
  <si>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</si>
  <si>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</si>
  <si>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</si>
  <si>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</si>
  <si>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</si>
  <si>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</si>
  <si>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</si>
  <si>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</si>
  <si>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</si>
  <si>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</si>
  <si>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</si>
  <si>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</si>
  <si>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</si>
  <si>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</si>
  <si>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</si>
  <si>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</si>
  <si>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</si>
  <si>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</si>
  <si>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</si>
  <si>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</si>
  <si>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</si>
  <si>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</si>
  <si>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</si>
  <si>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</si>
  <si>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</si>
  <si>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</si>
  <si>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</si>
  <si>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</si>
  <si>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</si>
  <si>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</si>
  <si>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</si>
  <si>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</si>
  <si>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</si>
  <si>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</si>
  <si>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</si>
  <si>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</si>
  <si>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</si>
  <si>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</si>
  <si>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</si>
  <si>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</si>
  <si>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</si>
  <si>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</si>
  <si>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</si>
  <si>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</si>
  <si>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</si>
  <si>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</si>
  <si>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</si>
  <si>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</si>
  <si>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</si>
  <si>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</si>
  <si>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</si>
  <si>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</si>
  <si>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</si>
  <si>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</si>
  <si>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</si>
  <si>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</si>
  <si>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</si>
  <si>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</si>
  <si>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</si>
  <si>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</si>
  <si>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</si>
  <si>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</si>
  <si>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</si>
  <si>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</si>
  <si>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</si>
  <si>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</si>
  <si>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</si>
  <si>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</si>
  <si>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</si>
  <si>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</si>
  <si>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</si>
  <si>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</si>
  <si>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</si>
  <si>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</si>
  <si>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</si>
  <si>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</si>
  <si>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</si>
  <si>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</si>
  <si>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</si>
  <si>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</si>
  <si>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</si>
  <si>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</si>
  <si>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</si>
  <si>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</si>
  <si>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</si>
  <si>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</si>
  <si>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</si>
  <si>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</si>
  <si>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</si>
  <si>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</si>
  <si>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</si>
  <si>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</si>
  <si>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</si>
  <si>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</si>
  <si>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</si>
  <si>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</si>
  <si>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</si>
  <si>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</si>
  <si>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</si>
  <si>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</si>
  <si>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</si>
  <si>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</si>
  <si>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</si>
  <si>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</si>
  <si>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</si>
  <si>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</si>
  <si>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</si>
  <si>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</si>
  <si>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</si>
  <si>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</si>
  <si>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</si>
  <si>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</si>
  <si>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</si>
  <si>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</si>
  <si>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</si>
  <si>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</si>
  <si>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</si>
  <si>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</si>
  <si>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</si>
  <si>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</si>
  <si>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</si>
  <si>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</si>
  <si>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</si>
  <si>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</si>
  <si>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</si>
  <si>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</si>
  <si>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</si>
  <si>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</si>
  <si>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</si>
  <si>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</si>
  <si>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</si>
  <si>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</si>
  <si>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</si>
  <si>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</si>
  <si>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</si>
  <si>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</si>
  <si>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</si>
  <si>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</si>
  <si>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</si>
  <si>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</si>
  <si>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</si>
  <si>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</si>
  <si>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</si>
  <si>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</si>
  <si>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</si>
  <si>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</si>
  <si>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</si>
  <si>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</si>
  <si>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</si>
  <si>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</si>
  <si>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</si>
  <si>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</si>
  <si>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</si>
  <si>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</si>
  <si>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</si>
  <si>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</si>
  <si>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</si>
  <si>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</si>
  <si>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</si>
  <si>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</si>
  <si>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</si>
  <si>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</si>
  <si>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</si>
  <si>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</si>
  <si>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</si>
  <si>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</si>
  <si>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</si>
  <si>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</si>
  <si>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</si>
  <si>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</si>
  <si>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</si>
  <si>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</si>
  <si>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</si>
  <si>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</si>
  <si>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</si>
  <si>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</si>
  <si>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</si>
  <si>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</si>
  <si>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</si>
  <si>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</si>
  <si>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</si>
  <si>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</si>
  <si>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</si>
  <si>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</si>
  <si>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</si>
  <si>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</si>
  <si>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</si>
  <si>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</si>
  <si>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</si>
  <si>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</si>
  <si>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</si>
  <si>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</si>
  <si>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</si>
  <si>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</si>
  <si>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</si>
  <si>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</si>
  <si>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</si>
  <si>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</si>
  <si>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</si>
  <si>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</si>
  <si>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</si>
  <si>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</si>
  <si>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</si>
  <si>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</si>
  <si>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</si>
  <si>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</si>
  <si>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</si>
  <si>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</si>
  <si>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</si>
  <si>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</si>
  <si>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</si>
  <si>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</si>
  <si>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</si>
  <si>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</si>
  <si>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</si>
  <si>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</si>
  <si>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</si>
  <si>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</si>
  <si>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</si>
  <si>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</si>
  <si>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</si>
  <si>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</si>
  <si>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</si>
  <si>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</si>
  <si>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</si>
  <si>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</si>
  <si>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</si>
  <si>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</si>
  <si>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</si>
  <si>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</si>
  <si>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</si>
  <si>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</si>
  <si>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</si>
  <si>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</si>
  <si>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</si>
  <si>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</si>
  <si>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</si>
  <si>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</si>
  <si>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</si>
  <si>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</si>
  <si>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</si>
  <si>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</si>
  <si>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</si>
  <si>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</si>
  <si>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</si>
  <si>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</si>
  <si>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</si>
  <si>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</si>
  <si>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</si>
  <si>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</si>
  <si>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</si>
  <si>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</si>
  <si>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</si>
  <si>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</si>
  <si>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</si>
  <si>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</si>
  <si>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</si>
  <si>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</si>
  <si>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</si>
  <si>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</si>
  <si>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</si>
  <si>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</si>
  <si>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</si>
  <si>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</si>
  <si>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</si>
  <si>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</si>
  <si>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</si>
  <si>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</si>
  <si>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</si>
  <si>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</si>
  <si>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</si>
  <si>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</si>
  <si>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</si>
  <si>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</si>
  <si>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</si>
  <si>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</si>
  <si>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</si>
  <si>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</si>
  <si>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</si>
  <si>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</si>
  <si>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</si>
  <si>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</si>
  <si>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</si>
  <si>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</si>
  <si>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</si>
  <si>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</si>
  <si>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</si>
  <si>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</si>
  <si>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</si>
  <si>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</si>
  <si>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</si>
  <si>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</si>
  <si>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</si>
  <si>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</si>
  <si>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</si>
  <si>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</si>
  <si>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</si>
  <si>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</si>
  <si>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</si>
  <si>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</si>
  <si>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</si>
  <si>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</si>
  <si>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</si>
  <si>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</si>
  <si>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</si>
  <si>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</si>
  <si>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</si>
  <si>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</si>
  <si>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</si>
  <si>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</si>
  <si>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</si>
  <si>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</si>
  <si>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</si>
  <si>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</si>
  <si>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</si>
  <si>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</si>
  <si>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</si>
  <si>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</si>
  <si>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</si>
  <si>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</si>
  <si>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</si>
  <si>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</si>
  <si>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</si>
  <si>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</si>
  <si>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</si>
  <si>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</si>
  <si>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</si>
  <si>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</si>
  <si>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</si>
  <si>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</si>
  <si>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</si>
  <si>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</si>
  <si>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</si>
  <si>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</si>
  <si>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</si>
  <si>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</si>
  <si>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</si>
  <si>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</si>
  <si>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</si>
  <si>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</si>
  <si>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</si>
  <si>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</si>
  <si>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</si>
  <si>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</si>
  <si>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</si>
  <si>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</si>
  <si>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</si>
  <si>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</si>
  <si>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</si>
  <si>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</si>
  <si>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</si>
  <si>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</si>
  <si>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</si>
  <si>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</si>
  <si>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</si>
  <si>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</si>
  <si>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</si>
  <si>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</si>
  <si>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</si>
  <si>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</si>
  <si>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</si>
  <si>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</si>
  <si>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</si>
  <si>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</si>
  <si>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</si>
  <si>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</si>
  <si>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</si>
  <si>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</si>
  <si>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</si>
  <si>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</si>
  <si>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</si>
  <si>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</si>
  <si>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</si>
  <si>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</si>
  <si>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</si>
  <si>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</si>
  <si>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</si>
  <si>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</si>
  <si>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</si>
  <si>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</si>
  <si>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</si>
  <si>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</si>
  <si>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</si>
  <si>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</si>
  <si>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</si>
  <si>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</si>
  <si>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</si>
  <si>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</si>
  <si>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</si>
  <si>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</si>
  <si>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</si>
  <si>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</si>
  <si>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</si>
  <si>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</si>
  <si>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</si>
  <si>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</si>
  <si>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</si>
  <si>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</si>
  <si>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</si>
  <si>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</si>
  <si>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</si>
  <si>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</si>
  <si>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</si>
  <si>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</si>
  <si>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</si>
  <si>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</si>
  <si>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</si>
  <si>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</si>
  <si>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</si>
  <si>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</si>
  <si>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</si>
  <si>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</si>
  <si>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</si>
  <si>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</si>
  <si>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</si>
  <si>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</si>
  <si>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</si>
  <si>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</si>
  <si>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</si>
  <si>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</si>
  <si>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</si>
  <si>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</si>
  <si>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</si>
  <si>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</si>
  <si>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</si>
  <si>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</si>
  <si>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</si>
  <si>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</si>
  <si>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</si>
  <si>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</si>
  <si>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</si>
  <si>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</si>
  <si>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</si>
  <si>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</si>
  <si>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</si>
  <si>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</si>
  <si>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</si>
  <si>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</si>
  <si>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</si>
  <si>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</si>
  <si>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</si>
  <si>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</si>
  <si>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</si>
  <si>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</si>
  <si>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</si>
  <si>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</si>
  <si>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</si>
  <si>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</si>
  <si>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</si>
  <si>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</si>
  <si>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</si>
  <si>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</si>
  <si>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</si>
  <si>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</si>
  <si>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</si>
  <si>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</si>
  <si>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</si>
  <si>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</si>
  <si>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</si>
  <si>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</si>
  <si>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</si>
  <si>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</si>
  <si>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</si>
  <si>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</si>
  <si>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</si>
  <si>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</si>
  <si>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</si>
  <si>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</si>
  <si>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</si>
  <si>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</si>
  <si>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</si>
  <si>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</si>
  <si>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</si>
  <si>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</si>
  <si>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</si>
  <si>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</si>
  <si>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</si>
  <si>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</si>
  <si>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</si>
  <si>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</si>
  <si>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</si>
  <si>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</si>
  <si>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</si>
  <si>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</si>
  <si>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</si>
  <si>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</si>
  <si>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</si>
  <si>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</si>
  <si>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</si>
  <si>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</si>
  <si>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</si>
  <si>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</si>
  <si>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</si>
  <si>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</si>
  <si>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</si>
  <si>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</si>
  <si>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</si>
  <si>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</si>
  <si>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</si>
  <si>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</si>
  <si>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</si>
  <si>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</si>
  <si>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</si>
  <si>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</si>
  <si>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</si>
  <si>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</si>
  <si>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</si>
  <si>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</si>
  <si>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</si>
  <si>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</si>
  <si>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</si>
  <si>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</si>
  <si>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</si>
  <si>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</si>
  <si>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</si>
  <si>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</si>
  <si>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</si>
  <si>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</si>
  <si>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</si>
  <si>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</si>
  <si>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</si>
  <si>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</si>
  <si>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</si>
  <si>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</si>
  <si>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</si>
  <si>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</si>
  <si>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</si>
  <si>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</si>
  <si>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</si>
  <si>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</si>
  <si>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</si>
  <si>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</si>
  <si>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</si>
  <si>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</si>
  <si>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</si>
  <si>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</si>
  <si>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</si>
  <si>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</si>
  <si>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</si>
  <si>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</si>
  <si>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</si>
  <si>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</si>
  <si>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</si>
  <si>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</si>
  <si>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</si>
  <si>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</si>
  <si>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</si>
  <si>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</si>
  <si>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</si>
  <si>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</si>
  <si>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</si>
  <si>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</si>
  <si>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</si>
  <si>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</si>
  <si>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</si>
  <si>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</si>
  <si>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</si>
  <si>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</si>
  <si>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</si>
  <si>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</si>
  <si>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</si>
  <si>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</si>
  <si>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</si>
  <si>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</si>
  <si>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</si>
  <si>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</si>
  <si>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</si>
  <si>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</si>
  <si>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</si>
  <si>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</si>
  <si>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</si>
  <si>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</si>
  <si>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</si>
  <si>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</si>
  <si>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</si>
  <si>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</si>
  <si>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</si>
  <si>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</si>
  <si>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</si>
  <si>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</si>
  <si>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</si>
  <si>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</si>
  <si>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</si>
  <si>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</si>
  <si>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</si>
  <si>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</si>
  <si>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</si>
  <si>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</si>
  <si>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</si>
  <si>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</si>
  <si>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</si>
  <si>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</si>
  <si>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</si>
  <si>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</si>
  <si>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</si>
  <si>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</si>
  <si>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</si>
  <si>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</si>
  <si>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</si>
  <si>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</si>
  <si>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</si>
  <si>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</si>
  <si>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</si>
  <si>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</si>
  <si>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</si>
  <si>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</si>
  <si>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</si>
  <si>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</si>
  <si>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</si>
  <si>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</si>
  <si>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</si>
  <si>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</si>
  <si>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</si>
  <si>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</si>
  <si>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</si>
  <si>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</si>
  <si>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</si>
  <si>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</si>
  <si>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</si>
  <si>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</si>
  <si>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</si>
  <si>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</si>
  <si>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</si>
  <si>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</si>
  <si>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</si>
  <si>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</si>
  <si>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</si>
  <si>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</si>
  <si>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</si>
  <si>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</si>
  <si>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</si>
  <si>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</si>
  <si>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</si>
  <si>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</si>
  <si>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</si>
  <si>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</si>
  <si>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</si>
  <si>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</si>
  <si>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</si>
  <si>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</si>
  <si>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</si>
  <si>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</si>
  <si>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</si>
  <si>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</si>
  <si>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</si>
  <si>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</si>
  <si>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</si>
  <si>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</si>
  <si>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</si>
  <si>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</si>
  <si>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</si>
  <si>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</si>
  <si>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</si>
  <si>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</si>
  <si>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</si>
  <si>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</si>
  <si>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</si>
  <si>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</si>
  <si>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</si>
  <si>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</si>
  <si>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</si>
  <si>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</si>
  <si>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</si>
  <si>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</si>
  <si>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</si>
  <si>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</si>
  <si>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</si>
  <si>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</si>
  <si>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</si>
  <si>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</si>
  <si>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</si>
  <si>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</si>
  <si>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</si>
  <si>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</si>
  <si>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</si>
  <si>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</si>
  <si>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</si>
  <si>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</si>
  <si>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</si>
  <si>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</si>
  <si>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</si>
  <si>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</si>
  <si>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</si>
  <si>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</si>
  <si>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</si>
  <si>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</si>
  <si>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</si>
  <si>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</si>
  <si>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</si>
  <si>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</si>
  <si>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</si>
  <si>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</si>
  <si>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</si>
  <si>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</si>
  <si>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</si>
  <si>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</si>
  <si>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</si>
  <si>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</si>
  <si>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</si>
  <si>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</si>
  <si>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</si>
  <si>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</si>
  <si>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</si>
  <si>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</si>
  <si>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</si>
  <si>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</si>
  <si>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</si>
  <si>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</si>
  <si>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</si>
  <si>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</si>
  <si>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</si>
  <si>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</si>
  <si>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</si>
  <si>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</si>
  <si>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</si>
  <si>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</si>
  <si>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</si>
  <si>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</si>
  <si>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</si>
  <si>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</si>
  <si>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</si>
  <si>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</si>
  <si>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</si>
  <si>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</si>
  <si>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</si>
  <si>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</si>
  <si>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</si>
  <si>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</si>
  <si>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</si>
  <si>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</si>
  <si>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</si>
  <si>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</si>
  <si>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</si>
  <si>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</si>
  <si>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</si>
  <si>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</si>
  <si>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</si>
  <si>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</si>
  <si>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</si>
  <si>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</si>
  <si>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</si>
  <si>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</si>
  <si>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</si>
  <si>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</si>
  <si>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</si>
  <si>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</si>
  <si>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</si>
  <si>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</si>
  <si>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</si>
  <si>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</si>
  <si>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</si>
  <si>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</si>
  <si>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</si>
  <si>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</si>
  <si>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</si>
  <si>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</si>
  <si>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</si>
  <si>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</si>
  <si>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</si>
  <si>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</si>
  <si>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</si>
  <si>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</si>
  <si>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</si>
  <si>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</si>
  <si>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</si>
  <si>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</si>
  <si>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</si>
  <si>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</si>
  <si>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</si>
  <si>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</si>
  <si>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</si>
  <si>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</si>
  <si>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</si>
  <si>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</si>
  <si>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</si>
  <si>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</si>
  <si>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</si>
  <si>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</si>
  <si>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</si>
  <si>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</si>
  <si>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</si>
  <si>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</si>
  <si>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</si>
  <si>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</si>
  <si>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</si>
  <si>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</si>
  <si>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</si>
  <si>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</si>
  <si>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</si>
  <si>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</si>
  <si>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</si>
  <si>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</si>
  <si>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</si>
  <si>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</si>
  <si>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</si>
  <si>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</si>
  <si>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</si>
  <si>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</si>
  <si>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</si>
  <si>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</si>
  <si>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</si>
  <si>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</si>
  <si>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</si>
  <si>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</si>
  <si>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</si>
  <si>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</si>
  <si>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</si>
  <si>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</si>
  <si>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</si>
  <si>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</si>
  <si>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</si>
  <si>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</si>
  <si>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</si>
  <si>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</si>
  <si>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</si>
  <si>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</si>
  <si>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</si>
  <si>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</si>
  <si>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</si>
  <si>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</si>
  <si>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</si>
  <si>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</si>
  <si>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</si>
  <si>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</si>
  <si>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</si>
  <si>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</si>
  <si>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</si>
  <si>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</si>
  <si>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</si>
  <si>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</si>
  <si>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</si>
  <si>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</si>
  <si>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</si>
  <si>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</si>
  <si>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</si>
  <si>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</si>
  <si>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</si>
  <si>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</si>
  <si>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</si>
  <si>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</si>
  <si>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</si>
  <si>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</si>
  <si>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</si>
  <si>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</si>
  <si>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</si>
  <si>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</si>
  <si>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</si>
  <si>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</si>
  <si>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</si>
  <si>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</si>
  <si>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</si>
  <si>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</si>
  <si>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</si>
  <si>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</si>
  <si>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</si>
  <si>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</si>
  <si>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</si>
  <si>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</si>
  <si>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</si>
  <si>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</si>
  <si>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</si>
  <si>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</si>
  <si>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</si>
  <si>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</si>
  <si>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</si>
  <si>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</si>
  <si>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</si>
  <si>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</si>
  <si>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</si>
  <si>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</si>
  <si>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</si>
  <si>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</si>
  <si>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</si>
  <si>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</si>
  <si>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</si>
  <si>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</si>
  <si>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</si>
  <si>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</si>
  <si>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</si>
  <si>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</si>
  <si>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</si>
  <si>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</si>
  <si>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</si>
  <si>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</si>
  <si>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</si>
  <si>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</si>
  <si>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</si>
  <si>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</si>
  <si>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</si>
  <si>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</si>
  <si>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</si>
  <si>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</si>
  <si>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</si>
  <si>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</si>
  <si>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</si>
  <si>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</si>
  <si>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</si>
  <si>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</si>
  <si>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</si>
  <si>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</si>
  <si>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</si>
  <si>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</si>
  <si>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</si>
  <si>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</si>
  <si>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</si>
  <si>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</si>
  <si>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</si>
  <si>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</si>
  <si>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</si>
  <si>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</si>
  <si>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</si>
  <si>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</si>
  <si>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</si>
  <si>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</si>
  <si>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</si>
  <si>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</si>
  <si>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</si>
  <si>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</si>
  <si>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</si>
  <si>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</si>
  <si>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</si>
  <si>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</si>
  <si>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</si>
  <si>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</si>
  <si>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</si>
  <si>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</si>
  <si>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</si>
  <si>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</si>
  <si>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</si>
  <si>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</si>
  <si>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</si>
  <si>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</si>
  <si>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</si>
  <si>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</si>
  <si>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</si>
  <si>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</si>
  <si>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</si>
  <si>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</si>
  <si>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</si>
  <si>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</si>
  <si>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</si>
  <si>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</si>
  <si>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</si>
  <si>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</si>
  <si>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</si>
  <si>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</si>
  <si>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</si>
  <si>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</si>
  <si>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</si>
  <si>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</si>
  <si>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</si>
  <si>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</si>
  <si>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</si>
  <si>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</si>
  <si>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</si>
  <si>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</si>
  <si>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</si>
  <si>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</si>
  <si>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</si>
  <si>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</si>
  <si>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</si>
  <si>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</si>
  <si>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</si>
  <si>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</si>
  <si>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</si>
  <si>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</si>
  <si>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</si>
  <si>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</si>
  <si>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</si>
  <si>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</si>
  <si>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</si>
  <si>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</si>
  <si>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</si>
  <si>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</si>
  <si>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</si>
  <si>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</si>
  <si>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</si>
  <si>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</si>
  <si>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</si>
  <si>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</si>
  <si>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</si>
  <si>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</si>
  <si>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</si>
  <si>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</si>
  <si>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</si>
  <si>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</si>
  <si>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</si>
  <si>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</si>
  <si>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</si>
  <si>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</si>
  <si>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</si>
  <si>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</si>
  <si>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</si>
  <si>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</si>
  <si>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</si>
  <si>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</si>
  <si>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</si>
  <si>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</si>
  <si>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</si>
  <si>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</si>
  <si>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</si>
  <si>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</si>
  <si>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</si>
  <si>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</si>
  <si>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</si>
  <si>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</si>
  <si>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</si>
  <si>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</si>
  <si>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</si>
  <si>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</si>
  <si>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</si>
  <si>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</si>
  <si>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</si>
  <si>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</si>
  <si>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</si>
  <si>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</si>
  <si>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</si>
  <si>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</si>
  <si>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</si>
  <si>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</si>
  <si>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</si>
  <si>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</si>
  <si>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</si>
  <si>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</si>
  <si>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</si>
  <si>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</si>
  <si>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</si>
  <si>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</si>
  <si>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</si>
  <si>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</si>
  <si>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</si>
  <si>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</si>
  <si>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</si>
  <si>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</si>
  <si>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</si>
  <si>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</si>
  <si>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</si>
  <si>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</si>
  <si>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</si>
  <si>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</si>
  <si>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</si>
  <si>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</si>
  <si>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</si>
  <si>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</si>
  <si>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</si>
  <si>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</si>
  <si>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</si>
  <si>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</si>
  <si>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</si>
  <si>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</si>
  <si>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</si>
  <si>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</si>
  <si>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</si>
  <si>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</si>
  <si>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</si>
  <si>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</si>
  <si>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</si>
  <si>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</si>
  <si>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</si>
  <si>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</si>
  <si>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</si>
  <si>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</si>
  <si>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</si>
  <si>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</si>
  <si>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</si>
  <si>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</si>
  <si>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</si>
  <si>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</si>
  <si>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</si>
  <si>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</si>
  <si>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</si>
  <si>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</si>
  <si>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</si>
  <si>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</si>
  <si>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</si>
  <si>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</si>
  <si>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</si>
  <si>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</si>
  <si>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</si>
  <si>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</si>
  <si>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</si>
  <si>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</si>
  <si>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</si>
  <si>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</si>
  <si>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</si>
  <si>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</si>
  <si>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</si>
  <si>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</si>
  <si>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</si>
  <si>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</si>
  <si>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</si>
  <si>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</si>
  <si>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</si>
  <si>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</si>
  <si>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</si>
  <si>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</si>
  <si>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</si>
  <si>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</si>
  <si>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</si>
  <si>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</si>
  <si>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</si>
  <si>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</si>
  <si>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</si>
  <si>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</si>
  <si>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</si>
  <si>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</si>
  <si>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</si>
  <si>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</si>
  <si>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</si>
  <si>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</si>
  <si>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</si>
  <si>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</si>
  <si>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</si>
  <si>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</si>
  <si>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</si>
  <si>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</si>
  <si>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</si>
  <si>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</si>
  <si>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</si>
  <si>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</si>
  <si>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</si>
  <si>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</si>
  <si>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</si>
  <si>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</si>
  <si>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</si>
  <si>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</si>
  <si>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</si>
  <si>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</si>
  <si>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</si>
  <si>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</si>
  <si>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</si>
  <si>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</si>
  <si>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</si>
  <si>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</si>
  <si>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</si>
  <si>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</si>
  <si>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</si>
  <si>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</si>
  <si>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</si>
  <si>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</si>
  <si>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</si>
  <si>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</si>
  <si>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</si>
  <si>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</si>
  <si>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</si>
  <si>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</si>
  <si>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</si>
  <si>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</si>
  <si>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</si>
  <si>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</si>
  <si>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</si>
  <si>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</si>
  <si>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</si>
  <si>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</si>
  <si>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</si>
  <si>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</si>
  <si>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</si>
  <si>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</si>
  <si>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</si>
  <si>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</si>
  <si>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</si>
  <si>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</si>
  <si>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</si>
  <si>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</si>
  <si>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</si>
  <si>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</si>
  <si>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</si>
  <si>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</si>
  <si>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</si>
  <si>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</si>
  <si>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</si>
  <si>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</si>
  <si>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</si>
  <si>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</si>
  <si>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</si>
  <si>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</si>
  <si>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</si>
  <si>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</si>
  <si>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</si>
  <si>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</si>
  <si>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</si>
  <si>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</si>
  <si>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</si>
  <si>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</si>
  <si>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</si>
  <si>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</si>
  <si>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</si>
  <si>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</si>
  <si>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</si>
  <si>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</si>
  <si>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</si>
  <si>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</si>
  <si>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</si>
  <si>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</si>
  <si>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</si>
  <si>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</si>
  <si>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</si>
  <si>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</si>
  <si>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</si>
  <si>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</si>
  <si>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</si>
  <si>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</si>
  <si>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</si>
  <si>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</si>
  <si>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</si>
  <si>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</si>
  <si>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</si>
  <si>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</si>
  <si>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</si>
  <si>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</si>
  <si>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</si>
  <si>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</si>
  <si>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</si>
  <si>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</si>
  <si>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</si>
  <si>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</si>
  <si>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</si>
  <si>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</si>
  <si>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</si>
  <si>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</si>
  <si>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</si>
  <si>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</si>
  <si>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</si>
  <si>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</si>
  <si>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</si>
  <si>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</si>
  <si>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</si>
  <si>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</si>
  <si>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</si>
  <si>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</si>
  <si>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</si>
  <si>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</si>
  <si>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</si>
  <si>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</si>
  <si>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</si>
  <si>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</si>
  <si>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</si>
  <si>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</si>
  <si>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</si>
  <si>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</si>
  <si>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</si>
  <si>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</si>
  <si>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</si>
  <si>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</si>
  <si>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</si>
  <si>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</si>
  <si>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</si>
  <si>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</si>
  <si>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</si>
  <si>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</si>
  <si>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</si>
  <si>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</si>
  <si>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</si>
  <si>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</si>
  <si>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</si>
  <si>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</si>
  <si>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</si>
  <si>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</si>
  <si>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</si>
  <si>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</si>
  <si>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</si>
  <si>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</si>
  <si>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</si>
  <si>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</si>
  <si>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</si>
  <si>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</si>
  <si>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</si>
  <si>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</si>
  <si>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</si>
  <si>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</si>
  <si>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</si>
  <si>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</si>
  <si>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</si>
  <si>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</si>
  <si>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</si>
  <si>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</si>
  <si>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</si>
  <si>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</si>
  <si>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</si>
  <si>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</si>
  <si>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</si>
  <si>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</si>
  <si>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</si>
  <si>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</si>
  <si>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</si>
  <si>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</si>
  <si>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</si>
  <si>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</si>
  <si>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</si>
  <si>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</si>
  <si>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</si>
  <si>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</si>
  <si>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</si>
  <si>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</si>
  <si>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</si>
  <si>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</si>
  <si>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</si>
  <si>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</si>
  <si>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</si>
  <si>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</si>
  <si>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</si>
  <si>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</si>
  <si>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</si>
  <si>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</si>
  <si>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</si>
  <si>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</si>
  <si>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</si>
  <si>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</si>
  <si>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</si>
  <si>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</si>
  <si>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</si>
  <si>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</si>
  <si>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</si>
  <si>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</si>
  <si>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</si>
  <si>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</si>
  <si>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</si>
  <si>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</si>
  <si>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</si>
  <si>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</si>
  <si>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</si>
  <si>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</si>
  <si>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</si>
  <si>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</si>
  <si>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</si>
  <si>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</si>
  <si>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</si>
  <si>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</si>
  <si>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</si>
  <si>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</si>
  <si>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</si>
  <si>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</si>
  <si>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</si>
  <si>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</si>
  <si>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</si>
  <si>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</si>
  <si>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</si>
  <si>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</si>
  <si>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</si>
  <si>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</si>
  <si>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</si>
  <si>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</si>
  <si>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</si>
  <si>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</si>
  <si>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</si>
  <si>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</si>
  <si>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</si>
  <si>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</si>
  <si>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</si>
  <si>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</si>
  <si>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</si>
  <si>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</si>
  <si>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</si>
  <si>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</si>
  <si>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</si>
  <si>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</si>
  <si>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</si>
  <si>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</si>
  <si>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</si>
  <si>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</si>
  <si>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</si>
  <si>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</si>
  <si>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</si>
  <si>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</si>
  <si>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</si>
  <si>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</si>
  <si>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</si>
  <si>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</si>
  <si>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</si>
  <si>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</si>
  <si>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</si>
  <si>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</si>
  <si>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</si>
  <si>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</si>
  <si>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</si>
  <si>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</si>
  <si>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</si>
  <si>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</si>
  <si>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</si>
  <si>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</si>
  <si>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</si>
  <si>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</si>
  <si>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</si>
  <si>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</si>
  <si>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</si>
  <si>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</si>
  <si>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</si>
  <si>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</si>
  <si>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</si>
  <si>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</si>
  <si>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</si>
  <si>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</si>
  <si>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</si>
  <si>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</si>
  <si>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</si>
  <si>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</si>
  <si>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</si>
  <si>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</si>
  <si>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</si>
  <si>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</si>
  <si>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</si>
  <si>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</si>
  <si>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</si>
  <si>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</si>
  <si>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</si>
  <si>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</si>
  <si>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</si>
  <si>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</si>
  <si>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</si>
  <si>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</si>
  <si>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</si>
  <si>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</si>
  <si>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</si>
  <si>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</si>
  <si>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</si>
  <si>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</si>
  <si>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</si>
  <si>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</si>
  <si>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</si>
  <si>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</si>
  <si>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</si>
  <si>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</si>
  <si>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</si>
  <si>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</si>
  <si>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</si>
  <si>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</si>
  <si>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</si>
  <si>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</si>
  <si>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</si>
  <si>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</si>
  <si>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</si>
  <si>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</si>
  <si>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</si>
  <si>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</si>
  <si>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</si>
  <si>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</si>
  <si>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</si>
  <si>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</si>
  <si>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</si>
  <si>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</si>
  <si>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</si>
  <si>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</si>
  <si>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</si>
  <si>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</si>
  <si>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</si>
  <si>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</si>
  <si>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</si>
  <si>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</si>
  <si>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</si>
  <si>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</si>
  <si>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</si>
  <si>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</si>
  <si>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</si>
  <si>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</si>
  <si>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</si>
  <si>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</si>
  <si>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</si>
  <si>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</si>
  <si>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</si>
  <si>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</si>
  <si>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</si>
  <si>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</si>
  <si>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</si>
  <si>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</si>
  <si>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</si>
  <si>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</si>
  <si>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</si>
  <si>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</si>
  <si>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</si>
  <si>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</si>
  <si>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</si>
  <si>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</si>
  <si>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</si>
  <si>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</si>
  <si>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</si>
  <si>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</si>
  <si>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</si>
  <si>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</si>
  <si>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</si>
  <si>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</si>
  <si>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</si>
  <si>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</si>
  <si>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</si>
  <si>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</si>
  <si>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</si>
  <si>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</si>
  <si>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</si>
  <si>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</si>
  <si>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</si>
  <si>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</si>
  <si>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</si>
  <si>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</si>
  <si>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</si>
  <si>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</si>
  <si>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</si>
  <si>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</si>
  <si>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</si>
  <si>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</si>
  <si>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</si>
  <si>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</si>
  <si>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</si>
  <si>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</si>
  <si>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</si>
  <si>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</si>
  <si>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</si>
  <si>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</si>
  <si>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</si>
  <si>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</si>
  <si>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</si>
  <si>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</si>
  <si>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</si>
  <si>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</si>
  <si>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</si>
  <si>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</si>
  <si>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</si>
  <si>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</si>
  <si>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</si>
  <si>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</si>
  <si>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</si>
  <si>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</si>
  <si>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</si>
  <si>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</si>
  <si>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</si>
  <si>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</si>
  <si>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</si>
  <si>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</si>
  <si>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</si>
  <si>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</si>
  <si>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</si>
  <si>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</si>
  <si>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</si>
  <si>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</si>
  <si>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</si>
  <si>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</si>
  <si>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</si>
  <si>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</si>
  <si>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</si>
  <si>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</si>
  <si>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</si>
  <si>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</si>
  <si>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</si>
  <si>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</si>
  <si>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</si>
  <si>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</si>
  <si>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</si>
  <si>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</si>
  <si>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</si>
  <si>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</si>
  <si>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</si>
  <si>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</si>
  <si>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</si>
  <si>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</si>
  <si>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</si>
  <si>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</si>
  <si>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</si>
  <si>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</si>
  <si>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</si>
  <si>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</si>
  <si>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</si>
  <si>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</si>
  <si>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</si>
  <si>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</si>
  <si>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</si>
  <si>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</si>
  <si>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</si>
  <si>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</si>
  <si>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</si>
  <si>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</si>
  <si>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</si>
  <si>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</si>
  <si>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</si>
  <si>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</si>
  <si>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</si>
  <si>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</si>
  <si>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</si>
  <si>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</si>
  <si>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</si>
  <si>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</si>
  <si>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</si>
  <si>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</si>
  <si>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</si>
  <si>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</si>
  <si>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</si>
  <si>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</si>
  <si>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</si>
  <si>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</si>
  <si>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</si>
  <si>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</si>
  <si>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</si>
  <si>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</si>
  <si>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</si>
  <si>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</si>
  <si>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</si>
  <si>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</si>
  <si>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</si>
  <si>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</si>
  <si>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</si>
  <si>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</si>
  <si>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</si>
  <si>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</si>
  <si>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</si>
  <si>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</si>
  <si>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</si>
  <si>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</si>
  <si>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</si>
  <si>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</si>
  <si>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</si>
  <si>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</si>
  <si>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</si>
  <si>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</si>
  <si>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</si>
  <si>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</si>
  <si>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</si>
  <si>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</si>
  <si>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</si>
  <si>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</si>
  <si>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</si>
  <si>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</si>
  <si>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</si>
  <si>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</si>
  <si>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</si>
  <si>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</si>
  <si>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</si>
  <si>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</si>
  <si>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</si>
  <si>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</si>
  <si>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</si>
  <si>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</si>
  <si>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</si>
  <si>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</si>
  <si>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</si>
  <si>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</si>
  <si>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</si>
  <si>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</si>
  <si>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</si>
  <si>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</si>
  <si>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</si>
  <si>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</si>
  <si>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</si>
  <si>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</si>
  <si>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</si>
  <si>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</si>
  <si>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</si>
  <si>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</si>
  <si>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</si>
  <si>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</si>
  <si>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</si>
  <si>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</si>
  <si>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</si>
  <si>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</si>
  <si>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</si>
  <si>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</si>
  <si>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</si>
  <si>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</si>
  <si>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</si>
  <si>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</si>
  <si>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</si>
  <si>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</si>
  <si>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</si>
  <si>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</si>
  <si>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</si>
  <si>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</si>
  <si>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</si>
  <si>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</si>
  <si>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</si>
  <si>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</si>
  <si>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</si>
  <si>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</si>
  <si>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</si>
  <si>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</si>
  <si>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</si>
  <si>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</si>
  <si>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</si>
  <si>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</si>
  <si>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</si>
  <si>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</si>
  <si>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</si>
  <si>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</si>
  <si>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</si>
  <si>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</si>
  <si>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</si>
  <si>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</si>
  <si>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</si>
  <si>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</si>
  <si>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</si>
  <si>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</si>
  <si>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</si>
  <si>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</si>
  <si>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</si>
  <si>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</si>
  <si>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</si>
  <si>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</si>
  <si>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</si>
  <si>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</si>
  <si>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</si>
  <si>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</si>
  <si>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</si>
  <si>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</si>
  <si>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</si>
  <si>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</si>
  <si>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</si>
  <si>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</si>
  <si>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</si>
  <si>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</si>
  <si>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</si>
  <si>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</si>
  <si>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</si>
  <si>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</si>
  <si>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</si>
  <si>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</si>
  <si>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</si>
  <si>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</si>
  <si>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</si>
  <si>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</si>
  <si>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</si>
  <si>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</si>
  <si>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</si>
  <si>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</si>
  <si>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</si>
  <si>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</si>
  <si>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</si>
  <si>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</si>
  <si>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</si>
  <si>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</si>
  <si>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</si>
  <si>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</si>
  <si>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</si>
  <si>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</si>
  <si>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</si>
  <si>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</si>
  <si>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</si>
  <si>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</si>
  <si>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</si>
  <si>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</si>
  <si>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</si>
  <si>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</si>
  <si>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</si>
  <si>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</si>
  <si>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</si>
  <si>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</si>
  <si>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</si>
  <si>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</si>
  <si>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</si>
  <si>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</si>
  <si>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</si>
  <si>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</si>
  <si>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</si>
  <si>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</si>
  <si>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</si>
  <si>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</si>
  <si>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</si>
  <si>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</si>
  <si>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</si>
  <si>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</si>
  <si>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</si>
  <si>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</si>
  <si>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</si>
  <si>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</si>
  <si>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</si>
  <si>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</si>
  <si>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</si>
  <si>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</si>
  <si>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</si>
  <si>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</si>
  <si>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</si>
  <si>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</si>
  <si>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</si>
  <si>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</si>
  <si>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</si>
  <si>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</si>
  <si>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</si>
  <si>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</si>
  <si>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</si>
  <si>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</si>
  <si>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</si>
  <si>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</si>
  <si>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</si>
  <si>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</si>
  <si>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</si>
  <si>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</si>
  <si>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</si>
  <si>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</si>
  <si>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</si>
  <si>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</si>
  <si>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</si>
  <si>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</si>
  <si>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</si>
  <si>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</si>
  <si>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</si>
  <si>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</si>
  <si>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</si>
  <si>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</si>
  <si>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</si>
  <si>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</si>
  <si>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</si>
  <si>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</si>
  <si>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</si>
  <si>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</si>
  <si>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</si>
  <si>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</si>
  <si>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</si>
  <si>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</si>
  <si>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</si>
  <si>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</si>
  <si>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</si>
  <si>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</si>
  <si>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</si>
  <si>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</si>
  <si>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</si>
  <si>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</si>
  <si>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</si>
  <si>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</si>
  <si>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</si>
  <si>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</si>
  <si>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</si>
  <si>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</si>
  <si>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</si>
  <si>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</si>
  <si>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</si>
  <si>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</si>
  <si>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</si>
  <si>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</si>
  <si>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</si>
  <si>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</si>
  <si>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</si>
  <si>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</si>
  <si>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</si>
  <si>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</si>
  <si>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</si>
  <si>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</si>
  <si>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</si>
  <si>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</si>
  <si>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</si>
  <si>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</si>
  <si>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</si>
  <si>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</si>
  <si>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</si>
  <si>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</si>
  <si>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</si>
  <si>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</si>
  <si>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</si>
  <si>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</si>
  <si>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</si>
  <si>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</si>
  <si>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</si>
  <si>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</si>
  <si>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</si>
  <si>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</si>
  <si>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</si>
  <si>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</si>
  <si>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</si>
  <si>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</si>
  <si>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</si>
  <si>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</si>
  <si>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</si>
  <si>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</si>
  <si>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</si>
  <si>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</si>
  <si>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</si>
  <si>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</si>
  <si>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</si>
  <si>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</si>
  <si>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</si>
  <si>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</si>
  <si>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</si>
  <si>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</si>
  <si>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</si>
  <si>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</si>
  <si>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</si>
  <si>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</si>
  <si>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</si>
  <si>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</si>
  <si>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</si>
  <si>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</si>
  <si>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</si>
  <si>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</si>
  <si>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</si>
  <si>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</si>
  <si>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</si>
  <si>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</si>
  <si>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</si>
  <si>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</si>
  <si>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</si>
  <si>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</si>
  <si>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</si>
  <si>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</si>
  <si>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</si>
  <si>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</si>
  <si>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</si>
  <si>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</si>
  <si>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</si>
  <si>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</si>
  <si>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</si>
  <si>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</si>
  <si>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</si>
  <si>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</si>
  <si>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</si>
  <si>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</si>
  <si>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</si>
  <si>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</si>
  <si>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</si>
  <si>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</si>
  <si>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</si>
  <si>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</si>
  <si>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</si>
  <si>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</si>
  <si>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</si>
  <si>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</si>
  <si>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</si>
  <si>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</si>
  <si>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</si>
  <si>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</si>
  <si>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</si>
  <si>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</si>
  <si>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</si>
  <si>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</si>
  <si>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</si>
  <si>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</si>
  <si>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</si>
  <si>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</si>
  <si>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</si>
  <si>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</si>
  <si>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</si>
  <si>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</si>
  <si>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</si>
  <si>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</si>
  <si>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</si>
  <si>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</si>
  <si>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</si>
  <si>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</si>
  <si>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</si>
  <si>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</si>
  <si>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</si>
  <si>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</si>
  <si>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</si>
  <si>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</si>
  <si>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</si>
  <si>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</si>
  <si>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</si>
  <si>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</si>
  <si>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</si>
  <si>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</si>
  <si>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</si>
  <si>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</si>
  <si>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</si>
  <si>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</si>
  <si>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</si>
  <si>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</si>
  <si>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</si>
  <si>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</si>
  <si>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</si>
  <si>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</si>
  <si>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</si>
  <si>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</si>
  <si>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</si>
  <si>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</si>
  <si>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</si>
  <si>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</si>
  <si>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</si>
  <si>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</si>
  <si>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</si>
  <si>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</si>
  <si>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</si>
  <si>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</si>
  <si>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</si>
  <si>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</si>
  <si>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</si>
  <si>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</si>
  <si>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</si>
  <si>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</si>
  <si>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</si>
  <si>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</si>
  <si>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</si>
  <si>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</si>
  <si>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</si>
  <si>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</si>
  <si>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</si>
  <si>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</si>
  <si>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</si>
  <si>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</si>
  <si>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</si>
  <si>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</si>
  <si>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</si>
  <si>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</si>
  <si>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</si>
  <si>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</si>
  <si>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</si>
  <si>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</si>
  <si>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</si>
  <si>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</si>
  <si>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</si>
  <si>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</si>
  <si>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</si>
  <si>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</si>
  <si>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</si>
  <si>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</si>
  <si>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</si>
  <si>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</si>
  <si>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</si>
  <si>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</si>
  <si>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</si>
  <si>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</si>
  <si>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</si>
  <si>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</si>
  <si>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</si>
  <si>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</si>
  <si>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</si>
  <si>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</si>
  <si>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</si>
  <si>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</si>
  <si>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</si>
  <si>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</si>
  <si>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</si>
  <si>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</si>
  <si>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</si>
  <si>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</si>
  <si>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</si>
  <si>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</si>
  <si>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</si>
  <si>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</si>
  <si>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</si>
  <si>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</si>
  <si>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</si>
  <si>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</si>
  <si>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</si>
  <si>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</si>
  <si>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</si>
  <si>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</si>
  <si>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</si>
  <si>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</si>
  <si>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</si>
  <si>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</si>
  <si>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</si>
  <si>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</si>
  <si>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</si>
  <si>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</si>
  <si>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</si>
  <si>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</si>
  <si>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</si>
  <si>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</si>
  <si>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</si>
  <si>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</si>
  <si>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</si>
  <si>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</si>
  <si>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</si>
  <si>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</si>
  <si>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</si>
  <si>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</si>
  <si>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</si>
  <si>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</si>
  <si>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</si>
  <si>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</si>
  <si>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</si>
  <si>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</si>
  <si>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</si>
  <si>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</si>
  <si>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</si>
  <si>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</si>
  <si>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</si>
  <si>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</si>
  <si>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</si>
  <si>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</si>
  <si>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</si>
  <si>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</si>
  <si>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</si>
  <si>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</si>
  <si>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</si>
  <si>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</si>
  <si>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</si>
  <si>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</si>
  <si>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</si>
  <si>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</si>
  <si>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</si>
  <si>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</si>
  <si>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</si>
  <si>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</si>
  <si>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</si>
  <si>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</si>
  <si>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</si>
  <si>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</si>
  <si>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</si>
  <si>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</si>
  <si>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</si>
  <si>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</si>
  <si>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</si>
  <si>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</si>
  <si>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</si>
  <si>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</si>
  <si>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</si>
  <si>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</si>
  <si>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</si>
  <si>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</si>
  <si>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</si>
  <si>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</si>
  <si>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</si>
  <si>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</si>
  <si>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</si>
  <si>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</si>
  <si>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</si>
  <si>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</si>
  <si>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</si>
  <si>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</si>
  <si>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</si>
  <si>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</si>
  <si>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</si>
  <si>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</si>
  <si>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</si>
  <si>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</si>
  <si>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</si>
  <si>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</si>
  <si>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</si>
  <si>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</si>
  <si>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</si>
  <si>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</si>
  <si>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</si>
  <si>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</si>
  <si>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</si>
  <si>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</si>
  <si>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</si>
  <si>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</si>
  <si>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</si>
  <si>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</si>
  <si>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</si>
  <si>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</si>
  <si>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</si>
  <si>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</si>
  <si>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</si>
  <si>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</si>
  <si>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</si>
  <si>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</si>
  <si>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</si>
  <si>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</si>
  <si>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</si>
  <si>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</si>
  <si>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</si>
  <si>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</si>
  <si>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</si>
  <si>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</si>
  <si>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</si>
  <si>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</si>
  <si>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</si>
  <si>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</si>
  <si>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</si>
  <si>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</si>
  <si>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</si>
  <si>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</si>
  <si>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</si>
  <si>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</si>
  <si>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</si>
  <si>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</si>
  <si>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</si>
  <si>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</si>
  <si>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</si>
  <si>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</si>
  <si>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</si>
  <si>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</si>
  <si>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</si>
  <si>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</si>
  <si>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</si>
  <si>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</si>
  <si>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</si>
  <si>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</si>
  <si>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</si>
  <si>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</si>
  <si>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</si>
  <si>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</si>
  <si>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</si>
  <si>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</si>
  <si>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</si>
  <si>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</si>
  <si>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</si>
  <si>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</si>
  <si>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</si>
  <si>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</si>
  <si>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</si>
  <si>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</si>
  <si>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</si>
  <si>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</si>
  <si>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</si>
  <si>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</si>
  <si>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</si>
  <si>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</si>
  <si>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</si>
  <si>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</si>
  <si>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</si>
  <si>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</si>
  <si>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</si>
  <si>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</si>
  <si>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</si>
  <si>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</si>
  <si>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</si>
  <si>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</si>
  <si>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</si>
  <si>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</si>
  <si>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</si>
  <si>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</si>
  <si>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</si>
  <si>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</si>
  <si>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</si>
  <si>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</si>
  <si>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</si>
  <si>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</si>
  <si>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</si>
  <si>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</si>
  <si>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</si>
  <si>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</si>
  <si>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</si>
  <si>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</si>
  <si>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</si>
  <si>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</si>
  <si>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</si>
  <si>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</si>
  <si>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</si>
  <si>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</si>
  <si>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</si>
  <si>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</si>
  <si>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</si>
  <si>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</si>
  <si>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</si>
  <si>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</si>
  <si>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</si>
  <si>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</si>
  <si>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</si>
  <si>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</si>
  <si>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</si>
  <si>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</si>
  <si>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</si>
  <si>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</si>
  <si>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</si>
  <si>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</si>
  <si>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</si>
  <si>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</si>
  <si>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</si>
  <si>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</si>
  <si>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</si>
  <si>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</si>
  <si>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</si>
  <si>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</si>
  <si>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</si>
  <si>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</si>
  <si>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</si>
  <si>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</si>
  <si>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</si>
  <si>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</si>
  <si>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</si>
  <si>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</si>
  <si>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</si>
  <si>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</si>
  <si>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</si>
  <si>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</si>
  <si>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</si>
  <si>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</si>
  <si>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</si>
  <si>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</si>
  <si>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</si>
  <si>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</si>
  <si>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</si>
  <si>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</si>
  <si>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</si>
  <si>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</si>
  <si>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</si>
  <si>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</si>
  <si>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</si>
  <si>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</si>
  <si>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</si>
  <si>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</si>
  <si>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</si>
  <si>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</si>
  <si>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</si>
  <si>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</si>
  <si>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</si>
  <si>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</si>
  <si>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</si>
  <si>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</si>
  <si>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</si>
  <si>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</si>
  <si>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</si>
  <si>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</si>
  <si>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</si>
  <si>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</si>
  <si>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</si>
  <si>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</si>
  <si>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</si>
  <si>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</si>
  <si>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</si>
  <si>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</si>
  <si>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</si>
  <si>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</si>
  <si>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</si>
  <si>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</si>
  <si>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</si>
  <si>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</si>
  <si>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</si>
  <si>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</si>
  <si>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</si>
  <si>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</si>
  <si>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</si>
  <si>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</si>
  <si>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</si>
  <si>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</si>
  <si>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</si>
  <si>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</si>
  <si>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</si>
  <si>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</si>
  <si>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</si>
  <si>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</si>
  <si>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</si>
  <si>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</si>
  <si>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</si>
  <si>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</si>
  <si>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</si>
  <si>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</si>
  <si>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</si>
  <si>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</si>
  <si>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</si>
  <si>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</si>
  <si>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</si>
  <si>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</si>
  <si>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</si>
  <si>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</si>
  <si>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</si>
  <si>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</si>
  <si>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</si>
  <si>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</si>
  <si>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</si>
  <si>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</si>
  <si>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</si>
  <si>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</si>
  <si>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</si>
  <si>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</si>
  <si>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</si>
  <si>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</si>
  <si>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</si>
  <si>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</si>
  <si>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</si>
  <si>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</si>
  <si>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</si>
  <si>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</si>
  <si>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</si>
  <si>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</si>
  <si>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</si>
  <si>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</si>
  <si>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</si>
  <si>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</si>
  <si>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</si>
  <si>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</si>
  <si>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</si>
  <si>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</si>
  <si>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</si>
  <si>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</si>
  <si>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</si>
  <si>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</si>
  <si>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</si>
  <si>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</si>
  <si>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</si>
  <si>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</si>
  <si>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</si>
  <si>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</si>
  <si>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</si>
  <si>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</si>
  <si>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</si>
  <si>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</si>
  <si>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</si>
  <si>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</si>
  <si>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</si>
  <si>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</si>
  <si>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</si>
  <si>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</si>
  <si>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</si>
  <si>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</si>
  <si>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</si>
  <si>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</si>
  <si>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</si>
  <si>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</si>
  <si>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</si>
  <si>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</si>
  <si>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</si>
  <si>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</si>
  <si>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</si>
  <si>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</si>
  <si>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</si>
  <si>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</si>
  <si>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</si>
  <si>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</si>
  <si>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</si>
  <si>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</si>
  <si>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</si>
  <si>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</si>
  <si>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</si>
  <si>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</si>
  <si>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</si>
  <si>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</si>
  <si>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</si>
  <si>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</si>
  <si>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</si>
  <si>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</si>
  <si>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</si>
  <si>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</si>
  <si>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</si>
  <si>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</si>
  <si>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</si>
  <si>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</si>
  <si>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</si>
  <si>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</si>
  <si>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</si>
  <si>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</si>
  <si>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</si>
  <si>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</si>
  <si>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</si>
  <si>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</si>
  <si>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</si>
  <si>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</si>
  <si>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</si>
  <si>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</si>
  <si>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</si>
  <si>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</si>
  <si>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</si>
  <si>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</si>
  <si>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</si>
  <si>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</si>
  <si>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</si>
  <si>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</si>
  <si>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</si>
  <si>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</si>
  <si>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</si>
  <si>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</si>
  <si>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</si>
  <si>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</si>
  <si>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</si>
  <si>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</si>
  <si>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</si>
  <si>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</si>
  <si>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</si>
  <si>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</si>
  <si>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</si>
  <si>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</si>
  <si>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</si>
  <si>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</si>
  <si>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</si>
  <si>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</si>
  <si>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</si>
  <si>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</si>
  <si>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</si>
  <si>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</si>
  <si>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</si>
  <si>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</si>
  <si>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</si>
  <si>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</si>
  <si>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</si>
  <si>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</si>
  <si>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</si>
  <si>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</si>
  <si>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</si>
  <si>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</si>
  <si>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</si>
  <si>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</si>
  <si>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</si>
  <si>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</si>
  <si>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</si>
  <si>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</si>
  <si>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</si>
  <si>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</si>
  <si>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</si>
  <si>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</si>
  <si>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</si>
  <si>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</si>
  <si>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</si>
  <si>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</si>
  <si>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</si>
  <si>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</si>
  <si>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</si>
  <si>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</si>
  <si>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</si>
  <si>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</si>
  <si>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</si>
  <si>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</si>
  <si>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</si>
  <si>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</si>
  <si>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</si>
  <si>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</si>
  <si>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</si>
  <si>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</si>
  <si>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</si>
  <si>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</si>
  <si>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</si>
  <si>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</si>
  <si>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</si>
  <si>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</si>
  <si>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</si>
  <si>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</si>
  <si>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</si>
  <si>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</si>
  <si>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</si>
  <si>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</si>
  <si>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</si>
  <si>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</si>
  <si>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</si>
  <si>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</si>
  <si>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</si>
  <si>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</si>
  <si>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</si>
  <si>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</si>
  <si>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</si>
  <si>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</si>
  <si>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</si>
  <si>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</si>
  <si>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</si>
  <si>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</si>
  <si>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</si>
  <si>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</si>
  <si>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</si>
  <si>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</si>
  <si>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</si>
  <si>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</si>
  <si>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</si>
  <si>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</si>
  <si>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</si>
  <si>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</si>
  <si>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</si>
  <si>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</si>
  <si>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</si>
  <si>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</si>
  <si>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</si>
  <si>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</si>
  <si>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</si>
  <si>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</si>
  <si>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</si>
  <si>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</si>
  <si>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</si>
  <si>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</si>
  <si>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</si>
  <si>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</si>
  <si>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</si>
  <si>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</si>
  <si>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</si>
  <si>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</si>
  <si>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</si>
  <si>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</si>
  <si>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</si>
  <si>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</si>
  <si>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</si>
  <si>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</si>
  <si>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</si>
  <si>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</si>
  <si>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</si>
  <si>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</si>
  <si>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</si>
  <si>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</si>
  <si>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</si>
  <si>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</si>
  <si>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</si>
  <si>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</si>
  <si>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</si>
  <si>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</si>
  <si>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</si>
  <si>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</si>
  <si>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</si>
  <si>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</si>
  <si>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</si>
  <si>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</si>
  <si>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</si>
  <si>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</si>
  <si>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</si>
  <si>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</si>
  <si>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</si>
  <si>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</si>
  <si>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</si>
  <si>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</si>
  <si>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</si>
  <si>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</si>
  <si>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</si>
  <si>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</si>
  <si>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</si>
  <si>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</si>
  <si>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</si>
  <si>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</si>
  <si>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</si>
  <si>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</si>
  <si>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</si>
  <si>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</si>
  <si>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</si>
  <si>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</si>
  <si>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</si>
  <si>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</si>
  <si>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</si>
  <si>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</si>
  <si>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</si>
  <si>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</si>
  <si>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</si>
  <si>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</si>
  <si>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</si>
  <si>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</si>
  <si>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</si>
  <si>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</si>
  <si>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</si>
  <si>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</si>
  <si>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</si>
  <si>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</si>
  <si>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</si>
  <si>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</si>
  <si>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</si>
  <si>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</si>
  <si>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</si>
  <si>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</si>
  <si>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</si>
  <si>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</si>
  <si>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</si>
  <si>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</si>
  <si>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</si>
  <si>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</si>
  <si>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</si>
  <si>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</si>
  <si>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</si>
  <si>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</si>
  <si>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</si>
  <si>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</si>
  <si>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</si>
  <si>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</si>
  <si>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</si>
  <si>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</si>
  <si>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</si>
  <si>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</si>
  <si>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</si>
  <si>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</si>
  <si>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</si>
  <si>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</si>
  <si>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</si>
  <si>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</si>
  <si>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</si>
  <si>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</si>
  <si>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</si>
  <si>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</si>
  <si>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</si>
  <si>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</si>
  <si>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</si>
  <si>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</si>
  <si>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</si>
  <si>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</si>
  <si>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</si>
  <si>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</si>
  <si>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</si>
  <si>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</si>
  <si>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</si>
  <si>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</si>
  <si>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</si>
  <si>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</si>
  <si>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</si>
  <si>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</si>
  <si>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</si>
  <si>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</si>
  <si>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</si>
  <si>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</si>
  <si>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</si>
  <si>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</si>
  <si>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</si>
  <si>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</si>
  <si>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</si>
  <si>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</si>
  <si>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</si>
  <si>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</si>
  <si>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</si>
  <si>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</si>
  <si>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</si>
  <si>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</si>
  <si>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</si>
  <si>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</si>
  <si>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</si>
  <si>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</si>
  <si>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</si>
  <si>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</si>
  <si>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</si>
  <si>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</si>
  <si>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</si>
  <si>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</si>
  <si>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</si>
  <si>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</si>
  <si>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</si>
  <si>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</si>
  <si>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</si>
  <si>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</si>
  <si>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</si>
  <si>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</si>
  <si>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</si>
  <si>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</si>
  <si>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</si>
  <si>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</si>
  <si>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</si>
  <si>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</si>
  <si>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</si>
  <si>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</si>
  <si>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</si>
  <si>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</si>
  <si>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</si>
  <si>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</si>
  <si>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</si>
  <si>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</si>
  <si>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</si>
  <si>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</si>
  <si>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</si>
  <si>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</si>
  <si>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</si>
  <si>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</si>
  <si>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</si>
  <si>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</si>
  <si>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</si>
  <si>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</si>
  <si>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</si>
  <si>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</si>
  <si>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</si>
  <si>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</si>
  <si>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</si>
  <si>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</si>
  <si>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</si>
  <si>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</si>
  <si>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</si>
  <si>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</si>
  <si>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</si>
  <si>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</si>
  <si>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</si>
  <si>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</si>
  <si>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</si>
  <si>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</si>
  <si>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</si>
  <si>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</si>
  <si>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</si>
  <si>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</si>
  <si>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</si>
  <si>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</si>
  <si>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</si>
  <si>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</si>
  <si>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</si>
  <si>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</si>
  <si>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</si>
  <si>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</si>
  <si>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</si>
  <si>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</si>
  <si>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</si>
  <si>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</si>
  <si>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</si>
  <si>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</si>
  <si>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</si>
  <si>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</si>
  <si>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</si>
  <si>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</si>
  <si>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</si>
  <si>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</si>
  <si>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</si>
  <si>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</si>
  <si>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</si>
  <si>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</si>
  <si>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</si>
  <si>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</si>
  <si>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</si>
  <si>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</si>
  <si>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</si>
  <si>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</si>
  <si>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</si>
  <si>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</si>
  <si>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</si>
  <si>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</si>
  <si>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</si>
  <si>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</si>
  <si>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</si>
  <si>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</si>
  <si>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</si>
  <si>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</si>
  <si>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</si>
  <si>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</si>
  <si>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</si>
  <si>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</si>
  <si>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</si>
  <si>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</si>
  <si>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</si>
  <si>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</si>
  <si>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</si>
  <si>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</si>
  <si>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</si>
  <si>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</si>
  <si>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</si>
  <si>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</si>
  <si>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</si>
  <si>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</si>
  <si>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</si>
  <si>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</si>
  <si>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</si>
  <si>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</si>
  <si>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</si>
  <si>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</si>
  <si>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</si>
  <si>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</si>
  <si>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</si>
  <si>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</si>
  <si>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</si>
  <si>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</si>
  <si>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</si>
  <si>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</si>
  <si>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</si>
  <si>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</si>
  <si>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</si>
  <si>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</si>
  <si>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</si>
  <si>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</si>
  <si>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</si>
  <si>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</si>
  <si>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</si>
  <si>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</si>
  <si>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</si>
  <si>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</si>
  <si>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</si>
  <si>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</si>
  <si>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</si>
  <si>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</si>
  <si>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</si>
  <si>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</si>
  <si>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</si>
  <si>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</si>
  <si>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</si>
  <si>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</si>
  <si>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</si>
  <si>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</si>
  <si>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</si>
  <si>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</si>
  <si>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</si>
  <si>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</si>
  <si>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</si>
  <si>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</si>
  <si>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</si>
  <si>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</si>
  <si>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</si>
  <si>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</si>
  <si>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</si>
  <si>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</si>
  <si>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</si>
  <si>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</si>
  <si>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</si>
  <si>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</si>
  <si>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</si>
  <si>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</si>
  <si>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</si>
  <si>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</si>
  <si>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</si>
  <si>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</si>
  <si>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</si>
  <si>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</si>
  <si>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</si>
  <si>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</si>
  <si>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</si>
  <si>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</si>
  <si>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</si>
  <si>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</si>
  <si>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</si>
  <si>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</si>
  <si>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</si>
  <si>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</si>
  <si>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</si>
  <si>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</si>
  <si>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</si>
  <si>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</si>
  <si>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</si>
  <si>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</si>
  <si>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</si>
  <si>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</si>
  <si>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</si>
  <si>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</si>
  <si>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</si>
  <si>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</si>
  <si>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</si>
  <si>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</si>
  <si>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</si>
  <si>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</si>
  <si>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</si>
  <si>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</si>
  <si>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</si>
  <si>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</si>
  <si>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</si>
  <si>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</si>
  <si>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</si>
  <si>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</si>
  <si>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</si>
  <si>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</si>
  <si>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</si>
  <si>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</si>
  <si>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</si>
  <si>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</si>
  <si>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</si>
  <si>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</si>
  <si>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</si>
  <si>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</si>
  <si>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</si>
  <si>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</si>
  <si>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</si>
  <si>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</si>
  <si>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</si>
  <si>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</si>
  <si>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</si>
  <si>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</si>
  <si>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</si>
  <si>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</si>
  <si>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</si>
  <si>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</si>
  <si>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</si>
  <si>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</si>
  <si>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</si>
  <si>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</si>
  <si>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</si>
  <si>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</si>
  <si>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</si>
  <si>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</si>
  <si>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</si>
  <si>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</si>
  <si>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</si>
  <si>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</si>
  <si>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</si>
  <si>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</si>
  <si>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</si>
  <si>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</si>
  <si>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</si>
  <si>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</si>
  <si>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</si>
  <si>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</si>
  <si>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</si>
  <si>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</si>
  <si>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</si>
  <si>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</si>
  <si>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</si>
  <si>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</si>
  <si>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</si>
  <si>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</si>
  <si>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</si>
  <si>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</si>
  <si>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</si>
  <si>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</si>
  <si>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</si>
  <si>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</si>
  <si>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</si>
  <si>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</si>
  <si>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</si>
  <si>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</si>
  <si>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</si>
  <si>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</si>
  <si>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</si>
  <si>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</si>
  <si>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</si>
  <si>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</si>
  <si>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</si>
  <si>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</si>
  <si>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</si>
  <si>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</si>
  <si>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</si>
  <si>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</si>
  <si>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</si>
  <si>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</si>
  <si>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</si>
  <si>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</si>
  <si>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</si>
  <si>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</si>
  <si>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</si>
  <si>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</si>
  <si>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</si>
  <si>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</si>
  <si>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</si>
  <si>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</si>
  <si>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</si>
  <si>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</si>
  <si>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</si>
  <si>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</si>
  <si>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</si>
  <si>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</si>
  <si>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</si>
  <si>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</si>
  <si>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</si>
  <si>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</si>
  <si>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</si>
  <si>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</si>
  <si>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</si>
  <si>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</si>
  <si>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</si>
  <si>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</si>
  <si>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</si>
  <si>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</si>
  <si>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</si>
  <si>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</si>
  <si>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</si>
  <si>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</si>
  <si>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</si>
  <si>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</si>
  <si>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</si>
  <si>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</si>
  <si>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</si>
  <si>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</si>
  <si>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</si>
  <si>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</si>
  <si>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</si>
  <si>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</si>
  <si>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</si>
  <si>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</si>
  <si>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</si>
  <si>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</si>
  <si>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</si>
  <si>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</si>
  <si>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</si>
  <si>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</si>
  <si>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</si>
  <si>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</si>
  <si>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</si>
  <si>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</si>
  <si>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</si>
  <si>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</si>
  <si>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</si>
  <si>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</si>
  <si>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</si>
  <si>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</si>
  <si>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</si>
  <si>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</si>
  <si>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</si>
  <si>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</si>
  <si>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</si>
  <si>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</si>
  <si>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</si>
  <si>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</si>
  <si>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</si>
  <si>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</si>
  <si>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</si>
  <si>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</si>
  <si>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</si>
  <si>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</si>
  <si>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</si>
  <si>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</si>
  <si>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</si>
  <si>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</si>
  <si>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</si>
  <si>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</si>
  <si>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</si>
  <si>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</si>
  <si>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</si>
  <si>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</si>
  <si>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</si>
  <si>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</si>
  <si>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</si>
  <si>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</si>
  <si>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</si>
  <si>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</si>
  <si>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</si>
  <si>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</si>
  <si>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</si>
  <si>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</si>
  <si>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</si>
  <si>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</si>
  <si>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</si>
  <si>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</si>
  <si>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</si>
  <si>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</si>
  <si>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</si>
  <si>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</si>
  <si>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</si>
  <si>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</si>
  <si>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</si>
  <si>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</si>
  <si>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</si>
  <si>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</si>
  <si>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</si>
  <si>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</si>
  <si>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</si>
  <si>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</si>
  <si>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</si>
  <si>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</si>
  <si>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</si>
  <si>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</si>
  <si>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</si>
  <si>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</si>
  <si>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</si>
  <si>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</si>
  <si>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</si>
  <si>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</si>
  <si>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</si>
  <si>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</si>
  <si>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</si>
  <si>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</si>
  <si>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</si>
  <si>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</si>
  <si>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</si>
  <si>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</si>
  <si>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</si>
  <si>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</si>
  <si>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</si>
  <si>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</si>
  <si>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</si>
  <si>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</si>
  <si>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</si>
  <si>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</si>
  <si>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</si>
  <si>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</si>
  <si>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</si>
  <si>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</si>
  <si>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</si>
  <si>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</si>
  <si>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</si>
  <si>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</si>
  <si>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</si>
  <si>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</si>
  <si>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</si>
  <si>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</si>
  <si>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</si>
  <si>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</si>
  <si>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</si>
  <si>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</si>
  <si>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</si>
  <si>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</si>
  <si>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</si>
  <si>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</si>
  <si>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</si>
  <si>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</si>
  <si>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</si>
  <si>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</si>
  <si>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</si>
  <si>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</si>
  <si>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</si>
  <si>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</si>
  <si>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</si>
  <si>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</si>
  <si>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</si>
  <si>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</si>
  <si>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</si>
  <si>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</si>
  <si>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</si>
  <si>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</si>
  <si>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</si>
  <si>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</si>
  <si>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</si>
  <si>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</si>
  <si>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</si>
  <si>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</si>
  <si>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</si>
  <si>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</si>
  <si>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</si>
  <si>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</si>
  <si>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</si>
  <si>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</si>
  <si>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</si>
  <si>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</si>
  <si>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</si>
  <si>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</si>
  <si>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</si>
  <si>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</si>
  <si>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</si>
  <si>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</si>
  <si>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</si>
  <si>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</si>
  <si>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</si>
  <si>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</si>
  <si>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</si>
  <si>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</si>
  <si>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</si>
  <si>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</si>
  <si>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</si>
  <si>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</si>
  <si>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</si>
  <si>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</si>
  <si>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</si>
  <si>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</si>
  <si>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</si>
  <si>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</si>
  <si>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</si>
  <si>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</si>
  <si>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</si>
  <si>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</si>
  <si>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</si>
  <si>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</si>
  <si>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</si>
  <si>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</si>
  <si>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</si>
  <si>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</si>
  <si>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</si>
  <si>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</si>
  <si>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</si>
  <si>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</si>
  <si>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</si>
  <si>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</si>
  <si>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</si>
  <si>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</si>
  <si>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</si>
  <si>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</si>
  <si>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</si>
  <si>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</si>
  <si>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</si>
  <si>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</si>
  <si>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</si>
  <si>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</si>
  <si>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</si>
  <si>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</si>
  <si>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</si>
  <si>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</si>
  <si>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</si>
  <si>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</si>
  <si>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</si>
  <si>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</si>
  <si>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</si>
  <si>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</si>
  <si>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</si>
  <si>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</si>
  <si>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</si>
  <si>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</si>
  <si>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</si>
  <si>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</si>
  <si>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</si>
  <si>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</si>
  <si>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</si>
  <si>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</si>
  <si>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</si>
  <si>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</si>
  <si>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</si>
  <si>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</si>
  <si>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</si>
  <si>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</si>
  <si>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</si>
  <si>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</si>
  <si>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</si>
  <si>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</si>
  <si>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</si>
  <si>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</si>
  <si>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</si>
  <si>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</si>
  <si>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</si>
  <si>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</si>
  <si>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</si>
  <si>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</si>
  <si>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</si>
  <si>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</si>
  <si>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</si>
  <si>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</si>
  <si>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</si>
  <si>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</si>
  <si>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</si>
  <si>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</si>
  <si>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</si>
  <si>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</si>
  <si>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</si>
  <si>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</si>
  <si>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</si>
  <si>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</si>
  <si>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</si>
  <si>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</si>
  <si>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</si>
  <si>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</si>
  <si>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</si>
  <si>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</si>
  <si>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</si>
  <si>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</si>
  <si>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</si>
  <si>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</si>
  <si>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</si>
  <si>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</si>
  <si>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</si>
  <si>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</si>
  <si>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</si>
  <si>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</si>
  <si>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</si>
  <si>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</si>
  <si>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</si>
  <si>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</si>
  <si>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</si>
  <si>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</si>
  <si>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</si>
  <si>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</si>
  <si>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</si>
  <si>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</si>
  <si>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</si>
  <si>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</si>
  <si>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</si>
  <si>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</si>
  <si>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</si>
  <si>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</si>
  <si>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</si>
  <si>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</si>
  <si>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</si>
  <si>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</si>
  <si>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</si>
  <si>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</si>
  <si>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</si>
  <si>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</si>
  <si>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</si>
  <si>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</si>
  <si>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</si>
  <si>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</si>
  <si>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</si>
  <si>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</si>
  <si>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</si>
  <si>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</si>
  <si>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</si>
  <si>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</si>
  <si>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</si>
  <si>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</si>
  <si>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</si>
  <si>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</si>
  <si>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</si>
  <si>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</si>
  <si>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</si>
  <si>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</si>
  <si>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</si>
  <si>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</si>
  <si>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</si>
  <si>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</si>
  <si>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</si>
  <si>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</si>
  <si>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</si>
  <si>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</si>
  <si>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</si>
  <si>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</si>
  <si>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</si>
  <si>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</si>
  <si>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</si>
  <si>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</si>
  <si>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</si>
  <si>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</si>
  <si>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</si>
  <si>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</si>
  <si>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</si>
  <si>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</si>
  <si>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</si>
  <si>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</si>
  <si>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</si>
  <si>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</si>
  <si>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</si>
  <si>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</si>
  <si>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</si>
  <si>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</si>
  <si>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</si>
  <si>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</si>
  <si>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</si>
  <si>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</si>
  <si>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</si>
  <si>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</si>
  <si>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</si>
  <si>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</si>
  <si>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</si>
  <si>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</si>
  <si>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</si>
  <si>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</si>
  <si>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</si>
  <si>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</si>
  <si>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</si>
  <si>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</si>
  <si>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</si>
  <si>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</si>
  <si>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</si>
  <si>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</si>
  <si>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</si>
  <si>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</si>
  <si>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</si>
  <si>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</si>
  <si>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</si>
  <si>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</si>
  <si>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</si>
  <si>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</si>
  <si>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</si>
  <si>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</si>
  <si>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</si>
  <si>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</si>
  <si>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</si>
  <si>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</si>
  <si>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</si>
  <si>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</si>
  <si>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</si>
  <si>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</si>
  <si>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</si>
  <si>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</si>
  <si>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</si>
  <si>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</si>
  <si>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</si>
  <si>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</si>
  <si>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</si>
  <si>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</si>
  <si>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</si>
  <si>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</si>
  <si>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</si>
  <si>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</si>
  <si>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</si>
  <si>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</si>
  <si>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</si>
  <si>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</si>
  <si>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</si>
  <si>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</si>
  <si>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</si>
  <si>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</si>
  <si>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</si>
  <si>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</si>
  <si>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</si>
  <si>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</si>
  <si>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</si>
  <si>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</si>
  <si>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</si>
  <si>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</si>
  <si>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</si>
  <si>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</si>
  <si>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</si>
  <si>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</si>
  <si>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</si>
  <si>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</si>
  <si>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</si>
  <si>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</si>
  <si>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</si>
  <si>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</si>
  <si>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</si>
  <si>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</si>
  <si>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</si>
  <si>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</si>
  <si>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</si>
  <si>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</si>
  <si>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</si>
  <si>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</si>
  <si>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</si>
  <si>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</si>
  <si>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</si>
  <si>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</si>
  <si>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</si>
  <si>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</si>
  <si>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</si>
  <si>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</si>
  <si>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</si>
  <si>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</si>
  <si>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</si>
  <si>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</si>
  <si>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</si>
  <si>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</si>
  <si>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</si>
  <si>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</si>
  <si>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</si>
  <si>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</si>
  <si>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</si>
  <si>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</si>
  <si>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</si>
  <si>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</si>
  <si>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</si>
  <si>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</si>
  <si>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</si>
  <si>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</si>
  <si>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</si>
  <si>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</si>
  <si>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</si>
  <si>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</si>
  <si>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</si>
  <si>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</si>
  <si>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</si>
  <si>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</si>
  <si>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</si>
  <si>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</si>
  <si>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</si>
  <si>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</si>
  <si>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</si>
  <si>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</si>
  <si>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</si>
  <si>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</si>
  <si>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</si>
  <si>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</si>
  <si>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</si>
  <si>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</si>
  <si>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</si>
  <si>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</si>
  <si>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</si>
  <si>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</si>
  <si>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</si>
  <si>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</si>
  <si>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</si>
  <si>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</si>
  <si>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</si>
  <si>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</si>
  <si>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</si>
  <si>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</si>
  <si>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</si>
  <si>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</si>
  <si>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</si>
  <si>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</si>
  <si>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</si>
  <si>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</si>
  <si>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</si>
  <si>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</si>
  <si>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</si>
  <si>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</si>
  <si>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</si>
  <si>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</si>
  <si>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</si>
  <si>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</si>
  <si>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</si>
  <si>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</si>
  <si>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</si>
  <si>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</si>
  <si>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</si>
  <si>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</si>
  <si>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</si>
  <si>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</si>
  <si>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</si>
  <si>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</si>
  <si>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</si>
  <si>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</si>
  <si>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</si>
  <si>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</si>
  <si>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</si>
  <si>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</si>
  <si>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</si>
  <si>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</si>
  <si>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</si>
  <si>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</si>
  <si>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</si>
  <si>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</si>
  <si>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</si>
  <si>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</si>
  <si>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</si>
  <si>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</si>
  <si>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</si>
  <si>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</si>
  <si>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</si>
  <si>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</si>
  <si>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</si>
  <si>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</si>
  <si>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</si>
  <si>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</si>
  <si>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</si>
  <si>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</si>
  <si>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</si>
  <si>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</si>
  <si>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</si>
  <si>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</si>
  <si>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</si>
  <si>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</si>
  <si>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</si>
  <si>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</si>
  <si>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</si>
  <si>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</si>
  <si>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</si>
  <si>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</si>
  <si>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</si>
  <si>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</si>
  <si>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</si>
  <si>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</si>
  <si>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</si>
  <si>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</si>
  <si>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</si>
  <si>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</si>
  <si>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</si>
  <si>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</si>
  <si>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</si>
  <si>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</si>
  <si>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</si>
  <si>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</si>
  <si>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</si>
  <si>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</si>
  <si>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</si>
  <si>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</si>
  <si>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</si>
  <si>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</si>
  <si>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</si>
  <si>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</si>
  <si>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</si>
  <si>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</si>
  <si>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</si>
  <si>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</si>
  <si>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</si>
  <si>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</si>
  <si>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</si>
  <si>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</si>
  <si>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</si>
  <si>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</si>
  <si>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</si>
  <si>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</si>
  <si>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</si>
  <si>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</si>
  <si>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</si>
  <si>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</si>
  <si>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</si>
  <si>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</si>
  <si>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</si>
  <si>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</si>
  <si>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</si>
  <si>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</si>
  <si>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</si>
  <si>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</si>
  <si>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</si>
  <si>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</si>
  <si>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</si>
  <si>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</si>
  <si>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</si>
  <si>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</si>
  <si>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</si>
  <si>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</si>
  <si>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</si>
  <si>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</si>
  <si>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</si>
  <si>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</si>
  <si>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</si>
  <si>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</si>
  <si>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</si>
  <si>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</si>
  <si>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</si>
  <si>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</si>
  <si>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</si>
  <si>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</si>
  <si>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</si>
  <si>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</si>
  <si>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</si>
  <si>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</si>
  <si>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</si>
  <si>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</si>
  <si>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</si>
  <si>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</si>
  <si>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</si>
  <si>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</si>
  <si>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</si>
  <si>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</si>
  <si>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</si>
  <si>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</si>
  <si>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</si>
  <si>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</si>
  <si>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</si>
  <si>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</si>
  <si>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</si>
  <si>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</si>
  <si>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</si>
  <si>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</si>
  <si>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</si>
  <si>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</si>
  <si>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</si>
  <si>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</si>
  <si>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</si>
  <si>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</si>
  <si>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</si>
  <si>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</si>
  <si>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</si>
  <si>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</si>
  <si>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</si>
  <si>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</si>
  <si>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</si>
  <si>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</si>
  <si>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</si>
  <si>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</si>
  <si>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</si>
  <si>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</si>
  <si>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</si>
  <si>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</si>
  <si>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</si>
  <si>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</si>
  <si>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</si>
  <si>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</si>
  <si>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</si>
  <si>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</si>
  <si>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</si>
  <si>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</si>
  <si>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</si>
  <si>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</si>
  <si>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</si>
  <si>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</si>
  <si>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</si>
  <si>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</si>
  <si>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</si>
  <si>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</si>
  <si>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</si>
  <si>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</si>
  <si>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</si>
  <si>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</si>
  <si>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</si>
  <si>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</si>
  <si>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</si>
  <si>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</si>
  <si>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</si>
  <si>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</si>
  <si>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</si>
  <si>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</si>
  <si>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</si>
  <si>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</si>
  <si>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</si>
  <si>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</si>
  <si>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</si>
  <si>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</si>
  <si>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</si>
  <si>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</si>
  <si>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</si>
  <si>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</si>
  <si>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</si>
  <si>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</si>
  <si>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</si>
  <si>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</si>
  <si>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</si>
  <si>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</si>
  <si>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</si>
  <si>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</si>
  <si>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</si>
  <si>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</si>
  <si>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</si>
  <si>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</si>
  <si>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</si>
  <si>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</si>
  <si>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</si>
  <si>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</si>
  <si>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</si>
  <si>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</si>
  <si>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</si>
  <si>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</si>
  <si>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</si>
  <si>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</si>
  <si>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</si>
  <si>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</si>
  <si>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</si>
  <si>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</si>
  <si>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</si>
  <si>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</si>
  <si>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</si>
  <si>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</si>
  <si>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</si>
  <si>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</si>
  <si>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</si>
  <si>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</si>
  <si>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</si>
  <si>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</si>
  <si>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</si>
  <si>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</si>
  <si>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</si>
  <si>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</si>
  <si>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</si>
  <si>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</si>
  <si>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</si>
  <si>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</si>
  <si>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</si>
  <si>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</si>
  <si>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</si>
  <si>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</si>
  <si>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</si>
  <si>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</si>
  <si>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</si>
  <si>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</si>
  <si>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</si>
  <si>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</si>
  <si>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</si>
  <si>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</si>
  <si>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</si>
  <si>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</si>
  <si>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</si>
  <si>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</si>
  <si>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</si>
  <si>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</si>
  <si>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</si>
  <si>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</si>
  <si>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</si>
  <si>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</si>
  <si>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</si>
  <si>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</si>
  <si>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</si>
  <si>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</si>
  <si>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</si>
  <si>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</si>
  <si>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</si>
  <si>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</si>
  <si>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</si>
  <si>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</si>
  <si>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</si>
  <si>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</si>
  <si>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</si>
  <si>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</si>
  <si>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</si>
  <si>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</si>
  <si>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</si>
  <si>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</si>
  <si>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</si>
  <si>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</si>
  <si>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</si>
  <si>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</si>
  <si>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</si>
  <si>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</si>
  <si>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</si>
  <si>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</si>
  <si>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</si>
  <si>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</si>
  <si>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</si>
  <si>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</si>
  <si>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</si>
  <si>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</si>
  <si>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</si>
  <si>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</si>
  <si>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</si>
  <si>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</si>
  <si>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</si>
  <si>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</si>
  <si>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</si>
  <si>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</si>
  <si>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</si>
  <si>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</si>
  <si>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</si>
  <si>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</si>
  <si>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</si>
  <si>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</si>
  <si>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</si>
  <si>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</si>
  <si>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</si>
  <si>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</si>
  <si>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</si>
  <si>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</si>
  <si>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</si>
  <si>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</si>
  <si>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</si>
  <si>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</si>
  <si>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</si>
  <si>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</si>
  <si>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</si>
  <si>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</si>
  <si>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</si>
  <si>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</si>
  <si>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</si>
  <si>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</si>
  <si>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</si>
  <si>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</si>
  <si>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</si>
  <si>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</si>
  <si>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</si>
  <si>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</si>
  <si>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</si>
  <si>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</si>
  <si>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</si>
  <si>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</si>
  <si>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</si>
  <si>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</si>
  <si>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</si>
  <si>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</si>
  <si>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</si>
  <si>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</si>
  <si>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</si>
  <si>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</si>
  <si>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</si>
  <si>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</si>
  <si>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</si>
  <si>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</si>
  <si>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</si>
  <si>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</si>
  <si>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</si>
  <si>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</si>
  <si>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</si>
  <si>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</si>
  <si>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</si>
  <si>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</si>
  <si>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</si>
  <si>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</si>
  <si>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</si>
  <si>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</si>
  <si>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</si>
  <si>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</si>
  <si>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</si>
  <si>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</si>
  <si>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</si>
  <si>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</si>
  <si>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</si>
  <si>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</si>
  <si>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</si>
  <si>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</si>
  <si>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</si>
  <si>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</si>
  <si>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</si>
  <si>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</si>
  <si>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</si>
  <si>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</si>
  <si>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</si>
  <si>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</si>
  <si>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</si>
  <si>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</si>
  <si>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</si>
  <si>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</si>
  <si>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</si>
  <si>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</si>
  <si>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</si>
  <si>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</si>
  <si>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</si>
  <si>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</si>
  <si>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</si>
  <si>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</si>
  <si>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</si>
  <si>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</si>
  <si>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</si>
  <si>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</si>
  <si>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</si>
  <si>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</si>
  <si>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</si>
  <si>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</si>
  <si>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</si>
  <si>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</si>
  <si>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</si>
  <si>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</si>
  <si>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</si>
  <si>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</si>
  <si>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</si>
  <si>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</si>
  <si>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</si>
  <si>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</si>
  <si>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</si>
  <si>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</si>
  <si>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</si>
  <si>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</si>
  <si>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</si>
  <si>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</si>
  <si>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</si>
  <si>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</si>
  <si>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</si>
  <si>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</si>
  <si>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</si>
  <si>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</si>
  <si>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</si>
  <si>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</si>
  <si>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</si>
  <si>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</si>
  <si>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</si>
  <si>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</si>
  <si>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</si>
  <si>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</si>
  <si>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</si>
  <si>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</si>
  <si>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</si>
  <si>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</si>
  <si>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</si>
  <si>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</si>
  <si>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</si>
  <si>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</si>
  <si>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</si>
  <si>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</si>
  <si>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</si>
  <si>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</si>
  <si>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</si>
  <si>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</si>
  <si>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</si>
  <si>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</si>
  <si>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</si>
  <si>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</si>
  <si>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</si>
  <si>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</si>
  <si>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</si>
  <si>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</si>
  <si>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</si>
  <si>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</si>
  <si>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</si>
  <si>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</si>
  <si>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</si>
  <si>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</si>
  <si>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</si>
  <si>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</si>
  <si>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</si>
  <si>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</si>
  <si>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</si>
  <si>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</si>
  <si>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</si>
  <si>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</si>
  <si>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</si>
  <si>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</si>
  <si>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</si>
  <si>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</si>
  <si>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</si>
  <si>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</si>
  <si>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</si>
  <si>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</si>
  <si>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</si>
  <si>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</si>
  <si>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</si>
  <si>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</si>
  <si>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</si>
  <si>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</si>
  <si>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</si>
  <si>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</si>
  <si>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</si>
  <si>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</si>
  <si>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</si>
  <si>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</si>
  <si>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</si>
  <si>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</si>
  <si>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</si>
  <si>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</si>
  <si>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</si>
  <si>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</si>
  <si>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</si>
  <si>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</si>
  <si>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</si>
  <si>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</si>
  <si>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</si>
  <si>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</si>
  <si>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</si>
  <si>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</si>
  <si>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</si>
  <si>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</si>
  <si>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</si>
  <si>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</si>
  <si>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</si>
  <si>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</si>
  <si>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</si>
  <si>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</si>
  <si>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</si>
  <si>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</si>
  <si>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</si>
  <si>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</si>
  <si>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</si>
  <si>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</si>
  <si>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</si>
  <si>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</si>
  <si>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</si>
  <si>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</si>
  <si>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</si>
  <si>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</si>
  <si>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</si>
  <si>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</si>
  <si>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</si>
  <si>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</si>
  <si>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</si>
  <si>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</si>
  <si>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</si>
  <si>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</si>
  <si>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</si>
  <si>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</si>
  <si>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</si>
  <si>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</si>
  <si>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</si>
  <si>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</si>
  <si>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</si>
  <si>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</si>
  <si>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</si>
  <si>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</si>
  <si>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</si>
  <si>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</si>
  <si>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</si>
  <si>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</si>
  <si>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</si>
  <si>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</si>
  <si>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</si>
  <si>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</si>
  <si>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</si>
  <si>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</si>
  <si>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</si>
  <si>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</si>
  <si>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</si>
  <si>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</si>
  <si>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</si>
  <si>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</si>
  <si>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</si>
  <si>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</si>
  <si>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</si>
  <si>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</si>
  <si>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</si>
  <si>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</si>
  <si>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</si>
  <si>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</si>
  <si>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</si>
  <si>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</si>
  <si>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</si>
  <si>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</si>
  <si>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</si>
  <si>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</si>
  <si>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</si>
  <si>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</si>
  <si>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</si>
  <si>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</si>
  <si>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</si>
  <si>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</si>
  <si>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</si>
  <si>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</si>
  <si>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</si>
  <si>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</si>
  <si>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</si>
  <si>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</si>
  <si>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</si>
  <si>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</si>
  <si>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</si>
  <si>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</si>
  <si>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</si>
  <si>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</si>
  <si>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</si>
  <si>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</si>
  <si>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</si>
  <si>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</si>
  <si>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</si>
  <si>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</si>
  <si>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</si>
  <si>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</si>
  <si>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</si>
  <si>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</si>
  <si>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</si>
  <si>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</si>
  <si>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</si>
  <si>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</si>
  <si>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</si>
  <si>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</si>
  <si>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</si>
  <si>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</si>
  <si>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</si>
  <si>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</si>
  <si>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</si>
  <si>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</si>
  <si>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</si>
  <si>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</si>
  <si>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</si>
  <si>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</si>
  <si>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</si>
  <si>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</si>
  <si>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</si>
  <si>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</si>
  <si>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</si>
  <si>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</si>
  <si>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</si>
  <si>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</si>
  <si>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</si>
  <si>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</si>
  <si>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</si>
  <si>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</si>
  <si>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</si>
  <si>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</si>
  <si>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</si>
  <si>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</si>
  <si>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</si>
  <si>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</si>
  <si>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</si>
  <si>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</si>
  <si>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</si>
  <si>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</si>
  <si>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</si>
  <si>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</si>
  <si>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</si>
  <si>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</si>
  <si>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</si>
  <si>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</si>
  <si>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</si>
  <si>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</si>
  <si>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</si>
  <si>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</si>
  <si>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</si>
  <si>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</si>
  <si>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</si>
  <si>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</si>
  <si>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</si>
  <si>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</si>
  <si>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</si>
  <si>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</si>
  <si>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</si>
  <si>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</si>
  <si>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</si>
  <si>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</si>
  <si>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</si>
  <si>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</si>
  <si>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</si>
  <si>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</si>
  <si>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</si>
  <si>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</si>
  <si>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</si>
  <si>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</si>
  <si>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</si>
  <si>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</si>
  <si>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</si>
  <si>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</si>
  <si>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</si>
  <si>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</si>
  <si>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</si>
  <si>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</si>
  <si>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</si>
  <si>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</si>
  <si>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</si>
  <si>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</si>
  <si>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</si>
  <si>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</si>
  <si>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</si>
  <si>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</si>
  <si>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</si>
  <si>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</si>
  <si>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</si>
  <si>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</si>
  <si>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</si>
  <si>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</si>
  <si>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</si>
  <si>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</si>
  <si>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</si>
  <si>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</si>
  <si>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</si>
  <si>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</si>
  <si>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</si>
  <si>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</si>
  <si>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</si>
  <si>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</si>
  <si>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</si>
  <si>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</si>
  <si>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</si>
  <si>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</si>
  <si>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</si>
  <si>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</si>
  <si>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</si>
  <si>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</si>
  <si>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</si>
  <si>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</si>
  <si>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</si>
  <si>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</si>
  <si>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</si>
  <si>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</si>
  <si>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</si>
  <si>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</si>
  <si>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</si>
  <si>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</si>
  <si>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</si>
  <si>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</si>
  <si>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</si>
  <si>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</si>
  <si>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</si>
  <si>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</si>
  <si>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</si>
  <si>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</si>
  <si>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</si>
  <si>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</si>
  <si>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</si>
  <si>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</si>
  <si>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</si>
  <si>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</si>
  <si>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</si>
  <si>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</si>
  <si>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</si>
  <si>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</si>
  <si>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</si>
  <si>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</si>
  <si>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</si>
  <si>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</si>
  <si>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</si>
  <si>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</si>
  <si>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</si>
  <si>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</si>
  <si>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</si>
  <si>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</si>
  <si>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</si>
  <si>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</si>
  <si>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</si>
  <si>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</si>
  <si>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</si>
  <si>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</si>
  <si>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</si>
  <si>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</si>
  <si>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</si>
  <si>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</si>
  <si>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</si>
  <si>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</si>
  <si>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</si>
  <si>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</si>
  <si>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</si>
  <si>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</si>
  <si>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</si>
  <si>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</si>
  <si>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</si>
  <si>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</si>
  <si>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</si>
  <si>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</si>
  <si>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</si>
  <si>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</si>
  <si>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</si>
  <si>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</si>
  <si>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</si>
  <si>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</si>
  <si>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</si>
  <si>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</si>
  <si>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</si>
  <si>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</si>
  <si>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</si>
  <si>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</si>
  <si>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</si>
  <si>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</si>
  <si>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</si>
  <si>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</si>
  <si>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</si>
  <si>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</si>
  <si>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</si>
  <si>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</si>
  <si>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</si>
  <si>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</si>
  <si>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</si>
  <si>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</si>
  <si>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</si>
  <si>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</si>
  <si>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</si>
  <si>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</si>
  <si>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</si>
  <si>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</si>
  <si>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</si>
  <si>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</si>
  <si>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</si>
  <si>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</si>
  <si>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</si>
  <si>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</si>
  <si>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</si>
  <si>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</si>
  <si>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</si>
  <si>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</si>
  <si>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</si>
  <si>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</si>
  <si>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</si>
  <si>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</si>
  <si>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</si>
  <si>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</si>
  <si>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</si>
  <si>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</si>
  <si>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</si>
  <si>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</si>
  <si>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</si>
  <si>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</si>
  <si>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</si>
  <si>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</si>
  <si>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</si>
  <si>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</si>
  <si>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</si>
  <si>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</si>
  <si>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</si>
  <si>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</si>
  <si>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</si>
  <si>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</si>
  <si>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</si>
  <si>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</si>
  <si>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</si>
  <si>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</si>
  <si>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</si>
  <si>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</si>
  <si>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</si>
  <si>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</si>
  <si>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</si>
  <si>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</si>
  <si>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</si>
  <si>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</si>
  <si>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</si>
  <si>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</si>
  <si>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</si>
  <si>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</si>
  <si>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</si>
  <si>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</si>
  <si>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</si>
  <si>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</si>
  <si>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</si>
  <si>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</si>
  <si>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</si>
  <si>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</si>
  <si>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</si>
  <si>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</si>
  <si>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</si>
  <si>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</si>
  <si>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</si>
  <si>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</si>
  <si>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</si>
  <si>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</si>
  <si>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</si>
  <si>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</si>
  <si>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</si>
  <si>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</si>
  <si>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</si>
  <si>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</si>
  <si>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</si>
  <si>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</si>
  <si>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</si>
  <si>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</si>
  <si>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</si>
  <si>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</si>
  <si>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</si>
  <si>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</si>
  <si>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</si>
  <si>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</si>
  <si>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</si>
  <si>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</si>
  <si>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</si>
  <si>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</si>
  <si>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</si>
  <si>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</si>
  <si>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</si>
  <si>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</si>
  <si>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</si>
  <si>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</si>
  <si>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</si>
  <si>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</si>
  <si>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</si>
  <si>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</si>
  <si>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</si>
  <si>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</si>
  <si>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</si>
  <si>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</si>
  <si>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</si>
  <si>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</si>
  <si>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</si>
  <si>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</si>
  <si>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</si>
  <si>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</si>
  <si>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</si>
  <si>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</si>
  <si>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</si>
  <si>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</si>
  <si>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</si>
  <si>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</si>
  <si>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</si>
  <si>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</si>
  <si>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</si>
  <si>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</si>
  <si>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</si>
  <si>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</si>
  <si>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</si>
  <si>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</si>
  <si>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</si>
  <si>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</si>
  <si>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</si>
  <si>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</si>
  <si>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</si>
  <si>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</si>
  <si>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</si>
  <si>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</si>
  <si>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</si>
  <si>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</si>
  <si>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</si>
  <si>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</si>
  <si>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</si>
  <si>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</si>
  <si>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</si>
  <si>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</si>
  <si>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</si>
  <si>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</si>
  <si>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</si>
  <si>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</si>
  <si>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</si>
  <si>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</si>
  <si>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</si>
  <si>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</si>
  <si>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</si>
  <si>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</si>
  <si>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</si>
  <si>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</si>
  <si>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</si>
  <si>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</si>
  <si>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</si>
  <si>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</si>
  <si>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</si>
  <si>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</si>
  <si>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</si>
  <si>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</si>
  <si>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</si>
  <si>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</si>
  <si>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</si>
  <si>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</si>
  <si>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</si>
  <si>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</si>
  <si>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</si>
  <si>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</si>
  <si>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</si>
  <si>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</si>
  <si>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</si>
  <si>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</si>
  <si>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</si>
  <si>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</si>
  <si>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</si>
  <si>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</si>
  <si>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</si>
  <si>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</si>
  <si>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</si>
  <si>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</si>
  <si>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</si>
  <si>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</si>
  <si>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</si>
  <si>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</si>
  <si>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</si>
  <si>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</si>
  <si>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</si>
  <si>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</si>
  <si>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</si>
  <si>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</si>
  <si>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</si>
  <si>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</si>
  <si>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</si>
  <si>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</si>
  <si>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</si>
  <si>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</si>
  <si>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</si>
  <si>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</si>
  <si>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</si>
  <si>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</si>
  <si>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</si>
  <si>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</si>
  <si>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</si>
  <si>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</si>
  <si>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</si>
  <si>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</si>
  <si>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</si>
  <si>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</si>
  <si>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</si>
  <si>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</si>
  <si>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</si>
  <si>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</si>
  <si>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</si>
  <si>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</si>
  <si>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</si>
  <si>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</si>
  <si>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</si>
  <si>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</si>
  <si>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</si>
  <si>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</si>
  <si>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</si>
  <si>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</si>
  <si>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</si>
  <si>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</si>
  <si>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</si>
  <si>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</si>
  <si>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</si>
  <si>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</si>
  <si>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</si>
  <si>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</si>
  <si>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</si>
  <si>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</si>
  <si>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</si>
  <si>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</si>
  <si>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</si>
  <si>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</si>
  <si>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</si>
  <si>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</si>
  <si>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</si>
  <si>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</si>
  <si>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</si>
  <si>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</si>
  <si>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</si>
  <si>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</si>
  <si>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</si>
  <si>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</si>
  <si>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</si>
  <si>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</si>
  <si>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</si>
  <si>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</si>
  <si>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</si>
  <si>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</si>
  <si>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</si>
  <si>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</si>
  <si>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</si>
  <si>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</si>
  <si>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</si>
  <si>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</si>
  <si>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</si>
  <si>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</si>
  <si>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</si>
  <si>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</si>
  <si>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</si>
  <si>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</si>
  <si>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</si>
  <si>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</si>
  <si>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</si>
  <si>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</si>
  <si>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</si>
  <si>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</si>
  <si>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</si>
  <si>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</si>
  <si>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</si>
  <si>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</si>
  <si>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</si>
  <si>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</si>
  <si>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</si>
  <si>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</si>
  <si>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</si>
  <si>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</si>
  <si>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</si>
  <si>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</si>
  <si>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</si>
  <si>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</si>
  <si>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</si>
  <si>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</si>
  <si>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</si>
  <si>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</si>
  <si>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</si>
  <si>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</si>
  <si>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</si>
  <si>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</si>
  <si>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</si>
  <si>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</si>
  <si>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</si>
  <si>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</si>
  <si>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</si>
  <si>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</si>
  <si>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</si>
  <si>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</si>
  <si>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</si>
  <si>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</si>
  <si>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</si>
  <si>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</si>
  <si>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</si>
  <si>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</si>
  <si>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</si>
  <si>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</si>
  <si>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</si>
  <si>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</si>
  <si>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</si>
  <si>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</si>
  <si>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</si>
  <si>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</si>
  <si>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</si>
  <si>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</si>
  <si>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</si>
  <si>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</si>
  <si>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</si>
  <si>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</si>
  <si>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</si>
  <si>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</si>
  <si>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</si>
  <si>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</si>
  <si>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</si>
  <si>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</si>
  <si>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</si>
  <si>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</si>
  <si>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</si>
  <si>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</si>
  <si>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</si>
  <si>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</si>
  <si>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</si>
  <si>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</si>
  <si>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</si>
  <si>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</si>
  <si>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</si>
  <si>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</si>
  <si>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</si>
  <si>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</si>
  <si>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</si>
  <si>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</si>
  <si>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</si>
  <si>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</si>
  <si>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</si>
  <si>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</si>
  <si>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</si>
  <si>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</si>
  <si>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</si>
  <si>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</si>
  <si>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</si>
  <si>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</si>
  <si>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</si>
  <si>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</si>
  <si>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</si>
  <si>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</si>
  <si>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</si>
  <si>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</si>
  <si>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</si>
  <si>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</si>
  <si>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</si>
  <si>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</si>
  <si>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</si>
  <si>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</si>
  <si>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</si>
  <si>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</si>
  <si>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</si>
  <si>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</si>
  <si>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</si>
  <si>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</si>
  <si>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</si>
  <si>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</si>
  <si>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</si>
  <si>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</si>
  <si>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</si>
  <si>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</si>
  <si>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</si>
  <si>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</si>
  <si>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</si>
  <si>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</si>
  <si>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</si>
  <si>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</si>
  <si>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</si>
  <si>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</si>
  <si>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</si>
  <si>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</si>
  <si>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</si>
  <si>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</si>
  <si>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</si>
  <si>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</si>
  <si>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</si>
  <si>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</si>
  <si>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</si>
  <si>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</si>
  <si>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</si>
  <si>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</si>
  <si>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</si>
  <si>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</si>
  <si>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</si>
  <si>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</si>
  <si>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</si>
  <si>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</si>
  <si>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</si>
  <si>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</si>
  <si>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</si>
  <si>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</si>
  <si>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</si>
  <si>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</si>
  <si>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</si>
  <si>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</si>
  <si>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</si>
  <si>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</si>
  <si>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</si>
  <si>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</si>
  <si>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</si>
  <si>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</si>
  <si>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</si>
  <si>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</si>
  <si>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</si>
  <si>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</si>
  <si>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</si>
  <si>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</si>
  <si>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</si>
  <si>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</si>
  <si>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</si>
  <si>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</si>
  <si>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</si>
  <si>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</si>
  <si>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</si>
  <si>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</si>
  <si>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</si>
  <si>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</si>
  <si>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</si>
  <si>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</si>
  <si>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</si>
  <si>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</si>
  <si>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</si>
  <si>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</si>
  <si>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</si>
  <si>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</si>
  <si>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</si>
  <si>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</si>
  <si>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</si>
  <si>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</si>
  <si>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</si>
  <si>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</si>
  <si>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</si>
  <si>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</si>
  <si>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</si>
  <si>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</si>
  <si>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</si>
  <si>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</si>
  <si>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</si>
  <si>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</si>
  <si>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</si>
  <si>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</si>
  <si>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</si>
  <si>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</si>
  <si>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</si>
  <si>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</si>
  <si>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</si>
  <si>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</si>
  <si>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</si>
  <si>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</si>
  <si>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</si>
  <si>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</si>
  <si>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</si>
  <si>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</si>
  <si>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</si>
  <si>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</si>
  <si>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</si>
  <si>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</si>
  <si>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</si>
  <si>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</si>
  <si>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</si>
  <si>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</si>
  <si>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</si>
  <si>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</si>
  <si>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</si>
  <si>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</si>
  <si>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</si>
  <si>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</si>
  <si>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</si>
  <si>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</si>
  <si>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</si>
  <si>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</si>
  <si>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</si>
  <si>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</si>
  <si>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</si>
  <si>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</si>
  <si>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</si>
  <si>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</si>
  <si>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</si>
  <si>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</si>
  <si>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</si>
  <si>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</si>
  <si>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</si>
  <si>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</si>
  <si>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</si>
  <si>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</si>
  <si>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</si>
  <si>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</si>
  <si>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</si>
  <si>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</si>
  <si>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</si>
  <si>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</si>
  <si>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</si>
  <si>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</si>
  <si>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</si>
  <si>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</si>
  <si>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</si>
  <si>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</si>
  <si>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</si>
  <si>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</si>
  <si>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</si>
  <si>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</si>
  <si>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</si>
  <si>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</si>
  <si>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</si>
  <si>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</si>
  <si>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</si>
  <si>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</si>
  <si>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</si>
  <si>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</si>
  <si>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</si>
  <si>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</si>
  <si>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</si>
  <si>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</si>
  <si>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</si>
  <si>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</si>
  <si>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</si>
  <si>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</si>
  <si>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</si>
  <si>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</si>
  <si>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</si>
  <si>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</si>
  <si>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</si>
  <si>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</si>
  <si>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</si>
  <si>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</si>
  <si>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</si>
  <si>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</si>
  <si>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</si>
  <si>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</si>
  <si>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</si>
  <si>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</si>
  <si>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</si>
  <si>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</si>
  <si>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</si>
  <si>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</si>
  <si>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</si>
  <si>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</si>
  <si>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</si>
  <si>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</si>
  <si>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</si>
  <si>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</si>
  <si>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</si>
  <si>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</si>
  <si>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</si>
  <si>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</si>
  <si>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</si>
  <si>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</si>
  <si>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</si>
  <si>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</si>
  <si>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</si>
  <si>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</si>
  <si>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</si>
  <si>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</si>
  <si>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</si>
  <si>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</si>
  <si>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</si>
  <si>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</si>
  <si>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</si>
  <si>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</si>
  <si>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</si>
  <si>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</si>
  <si>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</si>
  <si>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</si>
  <si>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</si>
  <si>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</si>
  <si>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</si>
  <si>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</si>
  <si>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</si>
  <si>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</si>
  <si>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</si>
  <si>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</si>
  <si>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</si>
  <si>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</si>
  <si>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</si>
  <si>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</si>
  <si>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</si>
  <si>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</si>
  <si>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</si>
  <si>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</si>
  <si>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</si>
  <si>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</si>
  <si>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</si>
  <si>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</si>
  <si>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</si>
  <si>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</si>
  <si>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</si>
  <si>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</si>
  <si>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</si>
  <si>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</si>
  <si>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</si>
  <si>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</si>
  <si>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</si>
  <si>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</si>
  <si>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</si>
  <si>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</si>
  <si>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</si>
  <si>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</si>
  <si>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</si>
  <si>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</si>
  <si>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</si>
  <si>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</si>
  <si>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</si>
  <si>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</si>
  <si>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</si>
  <si>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</si>
  <si>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</si>
  <si>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</si>
  <si>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</si>
  <si>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</si>
  <si>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</si>
  <si>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</si>
  <si>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</si>
  <si>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</si>
  <si>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</si>
  <si>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</si>
  <si>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</si>
  <si>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</si>
  <si>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</si>
  <si>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</si>
  <si>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</si>
  <si>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</si>
  <si>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</si>
  <si>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</si>
  <si>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</si>
  <si>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</si>
  <si>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</si>
  <si>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</si>
  <si>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</si>
  <si>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</si>
  <si>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</si>
  <si>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</si>
  <si>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</si>
  <si>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</si>
  <si>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</si>
  <si>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</si>
  <si>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</si>
  <si>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</si>
  <si>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</si>
  <si>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</si>
  <si>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</si>
  <si>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</si>
  <si>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</si>
  <si>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</si>
  <si>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</si>
  <si>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</si>
  <si>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</si>
  <si>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</si>
  <si>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</si>
  <si>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</si>
  <si>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</si>
  <si>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</si>
  <si>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</si>
  <si>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</si>
  <si>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</si>
  <si>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</si>
  <si>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</si>
  <si>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</si>
  <si>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</si>
  <si>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</si>
  <si>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</si>
  <si>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</si>
  <si>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</si>
  <si>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</si>
  <si>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</si>
  <si>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</si>
  <si>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</si>
  <si>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</si>
  <si>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</si>
  <si>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</si>
  <si>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</si>
  <si>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</si>
  <si>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</si>
  <si>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</si>
  <si>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</si>
  <si>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</si>
  <si>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</si>
  <si>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</si>
  <si>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</si>
  <si>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</si>
  <si>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</si>
  <si>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</si>
  <si>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</si>
  <si>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</si>
  <si>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</si>
  <si>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</si>
  <si>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</si>
  <si>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</si>
  <si>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</si>
  <si>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</si>
  <si>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</si>
  <si>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</si>
  <si>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</si>
  <si>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</si>
  <si>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</si>
  <si>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</si>
  <si>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</si>
  <si>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</si>
  <si>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</si>
  <si>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</si>
  <si>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</si>
  <si>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</si>
  <si>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</si>
  <si>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</si>
  <si>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</si>
  <si>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</si>
  <si>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</si>
  <si>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</si>
  <si>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</si>
  <si>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</si>
  <si>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</si>
  <si>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</si>
  <si>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</si>
  <si>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</si>
  <si>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</si>
  <si>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</si>
  <si>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</si>
  <si>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</si>
  <si>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</si>
  <si>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</si>
  <si>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</si>
  <si>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</si>
  <si>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</si>
  <si>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</si>
  <si>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</si>
  <si>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</si>
  <si>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</si>
  <si>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</si>
  <si>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</si>
  <si>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</si>
  <si>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</si>
  <si>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</si>
  <si>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</si>
  <si>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</si>
  <si>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</si>
  <si>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</si>
  <si>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</si>
  <si>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</si>
  <si>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</si>
  <si>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</si>
  <si>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</si>
  <si>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</si>
  <si>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</si>
  <si>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</si>
  <si>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</si>
  <si>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</si>
  <si>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</si>
  <si>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</si>
  <si>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</si>
  <si>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</si>
  <si>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</si>
  <si>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</si>
  <si>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</si>
  <si>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</si>
  <si>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</si>
  <si>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</si>
  <si>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</si>
  <si>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</si>
  <si>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</si>
  <si>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</si>
  <si>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</si>
  <si>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</si>
  <si>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</si>
  <si>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</si>
  <si>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</si>
  <si>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</si>
  <si>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</si>
  <si>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</si>
  <si>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</si>
  <si>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</si>
  <si>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</si>
  <si>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</si>
  <si>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</si>
  <si>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</si>
  <si>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</si>
  <si>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</si>
  <si>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</si>
  <si>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</si>
  <si>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</si>
  <si>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</si>
  <si>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</si>
  <si>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</si>
  <si>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</si>
  <si>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</si>
  <si>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</si>
  <si>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</si>
  <si>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</si>
  <si>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</si>
  <si>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</si>
  <si>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</si>
  <si>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</si>
  <si>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</si>
  <si>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</si>
  <si>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</si>
  <si>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</si>
  <si>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</si>
  <si>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</si>
  <si>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</si>
  <si>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</si>
  <si>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</si>
  <si>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</si>
  <si>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</si>
  <si>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</si>
  <si>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</si>
  <si>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</si>
  <si>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</si>
  <si>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</si>
  <si>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</si>
  <si>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</si>
  <si>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</si>
  <si>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</si>
  <si>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</si>
  <si>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</si>
  <si>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</si>
  <si>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</si>
  <si>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</si>
  <si>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</si>
  <si>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</si>
  <si>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</si>
  <si>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</si>
  <si>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</si>
  <si>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</si>
  <si>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</si>
  <si>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</si>
  <si>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</si>
  <si>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</si>
  <si>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</si>
  <si>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</si>
  <si>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</si>
  <si>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</si>
  <si>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</si>
  <si>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</si>
  <si>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</si>
  <si>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</si>
  <si>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</si>
  <si>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</si>
  <si>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</si>
  <si>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</si>
  <si>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</si>
  <si>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</si>
  <si>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</si>
  <si>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</si>
  <si>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</si>
  <si>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</si>
  <si>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</si>
  <si>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</si>
  <si>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</si>
  <si>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</si>
  <si>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</si>
  <si>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</si>
  <si>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</si>
  <si>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</si>
  <si>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</si>
  <si>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</si>
  <si>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</si>
  <si>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</si>
  <si>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</si>
  <si>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</si>
  <si>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</si>
  <si>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</si>
  <si>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</si>
  <si>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</si>
  <si>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</si>
  <si>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</si>
  <si>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</si>
  <si>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</si>
  <si>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</si>
  <si>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</si>
  <si>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</si>
  <si>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</si>
  <si>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</si>
  <si>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</si>
  <si>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</si>
  <si>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</si>
  <si>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</si>
  <si>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</si>
  <si>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</si>
  <si>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</si>
  <si>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</si>
  <si>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</si>
  <si>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</si>
  <si>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</si>
  <si>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</si>
  <si>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</si>
  <si>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</si>
  <si>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</si>
  <si>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</si>
  <si>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</si>
  <si>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</si>
  <si>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</si>
  <si>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</si>
  <si>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</si>
  <si>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</si>
  <si>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</si>
  <si>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</si>
  <si>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</si>
  <si>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</si>
  <si>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</si>
  <si>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</si>
  <si>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</si>
  <si>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</si>
  <si>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</si>
  <si>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</si>
  <si>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</si>
  <si>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</si>
  <si>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</si>
  <si>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</si>
  <si>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</si>
  <si>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</si>
  <si>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</si>
  <si>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</si>
  <si>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</si>
  <si>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</si>
  <si>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</si>
  <si>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</si>
  <si>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</si>
  <si>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</si>
  <si>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</si>
  <si>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</si>
  <si>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</si>
  <si>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</si>
  <si>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</si>
  <si>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</si>
  <si>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</si>
  <si>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</si>
  <si>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</si>
  <si>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</si>
  <si>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</si>
  <si>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</si>
  <si>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</si>
  <si>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</si>
  <si>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</si>
  <si>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</si>
  <si>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</si>
  <si>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</si>
  <si>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</si>
  <si>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</si>
  <si>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</si>
  <si>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</si>
  <si>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</si>
  <si>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</si>
  <si>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</si>
  <si>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</si>
  <si>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</si>
  <si>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</si>
  <si>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</si>
  <si>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</si>
  <si>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</si>
  <si>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</si>
  <si>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</si>
  <si>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</si>
  <si>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</si>
  <si>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</si>
  <si>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</si>
  <si>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</si>
  <si>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</si>
  <si>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</si>
  <si>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</si>
  <si>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</si>
  <si>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</si>
  <si>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</si>
  <si>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</si>
  <si>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</si>
  <si>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</si>
  <si>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</si>
  <si>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</si>
  <si>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</si>
  <si>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</si>
  <si>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</si>
  <si>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</si>
  <si>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</si>
  <si>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</si>
  <si>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</si>
  <si>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</si>
  <si>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</si>
  <si>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</si>
  <si>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</si>
  <si>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</si>
  <si>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</si>
  <si>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</si>
  <si>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</si>
  <si>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</si>
  <si>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</si>
  <si>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</si>
  <si>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</si>
  <si>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</si>
  <si>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</si>
  <si>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</si>
  <si>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</si>
  <si>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</si>
  <si>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</si>
  <si>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</si>
  <si>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</si>
  <si>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</si>
  <si>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</si>
  <si>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</si>
  <si>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</si>
  <si>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</si>
  <si>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</si>
  <si>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</si>
  <si>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</si>
  <si>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</si>
  <si>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</si>
  <si>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</si>
  <si>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</si>
  <si>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</si>
  <si>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</si>
  <si>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</si>
  <si>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</si>
  <si>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</si>
  <si>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</si>
  <si>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</si>
  <si>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</si>
  <si>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</si>
  <si>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</si>
  <si>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</si>
  <si>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</si>
  <si>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</si>
  <si>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</si>
  <si>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</si>
  <si>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</si>
  <si>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</si>
  <si>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</si>
  <si>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</si>
  <si>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</si>
  <si>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</si>
  <si>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</si>
  <si>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</si>
  <si>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</si>
  <si>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</si>
  <si>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</si>
  <si>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</si>
  <si>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</si>
  <si>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</si>
  <si>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</si>
  <si>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</si>
  <si>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</si>
  <si>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</si>
  <si>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</si>
  <si>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</si>
  <si>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</si>
  <si>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</si>
  <si>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</si>
  <si>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</si>
  <si>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</si>
  <si>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</si>
  <si>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</si>
  <si>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</si>
  <si>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</si>
  <si>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</si>
  <si>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</si>
  <si>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</si>
  <si>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</si>
  <si>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</si>
  <si>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</si>
  <si>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</si>
  <si>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</si>
  <si>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</si>
  <si>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</si>
  <si>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</si>
  <si>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</si>
  <si>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</si>
  <si>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</si>
  <si>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</si>
  <si>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</si>
  <si>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</si>
  <si>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</si>
  <si>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</si>
  <si>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</si>
  <si>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</si>
  <si>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</si>
  <si>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</si>
  <si>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</si>
  <si>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</si>
  <si>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</si>
  <si>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</si>
  <si>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</si>
  <si>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</si>
  <si>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</si>
  <si>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</si>
  <si>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</si>
  <si>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</si>
  <si>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</si>
  <si>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</si>
  <si>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</si>
  <si>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</si>
  <si>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</si>
  <si>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</si>
  <si>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</si>
  <si>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</si>
  <si>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</si>
  <si>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</si>
  <si>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</si>
  <si>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</si>
  <si>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</si>
  <si>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</si>
  <si>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</si>
  <si>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</si>
  <si>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</si>
  <si>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</si>
  <si>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</si>
  <si>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</si>
  <si>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</si>
  <si>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</si>
  <si>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</si>
  <si>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</si>
  <si>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</si>
  <si>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</si>
  <si>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</si>
  <si>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</si>
  <si>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</si>
  <si>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</si>
  <si>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</si>
  <si>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</si>
  <si>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</si>
  <si>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</si>
  <si>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</si>
  <si>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</si>
  <si>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</si>
  <si>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</si>
  <si>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</si>
  <si>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</si>
  <si>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</si>
  <si>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</si>
  <si>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</si>
  <si>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</si>
  <si>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</si>
  <si>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</si>
  <si>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</si>
  <si>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</si>
  <si>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</si>
  <si>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</si>
  <si>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</si>
  <si>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</si>
  <si>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</si>
  <si>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</si>
  <si>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</si>
  <si>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</si>
  <si>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</si>
  <si>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</si>
  <si>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</si>
  <si>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</si>
  <si>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</si>
  <si>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</si>
  <si>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</si>
  <si>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</si>
  <si>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</si>
  <si>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</si>
  <si>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</si>
  <si>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</si>
  <si>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</si>
  <si>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</si>
  <si>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</si>
  <si>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</si>
  <si>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</si>
  <si>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</si>
  <si>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</si>
  <si>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</si>
  <si>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</si>
  <si>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</si>
  <si>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</si>
  <si>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</si>
  <si>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</si>
  <si>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</si>
  <si>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</si>
  <si>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</si>
  <si>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</si>
  <si>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</si>
  <si>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</si>
  <si>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</si>
  <si>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</si>
  <si>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</si>
  <si>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</si>
  <si>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</si>
  <si>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</si>
  <si>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</si>
  <si>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</si>
  <si>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</si>
  <si>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</si>
  <si>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</si>
  <si>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</si>
  <si>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</si>
  <si>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</si>
  <si>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</si>
  <si>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</si>
  <si>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</si>
  <si>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</si>
  <si>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</si>
  <si>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</si>
  <si>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</si>
  <si>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</si>
  <si>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</si>
  <si>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</si>
  <si>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</si>
  <si>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</si>
  <si>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</si>
  <si>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</si>
  <si>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</si>
  <si>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</si>
  <si>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</si>
  <si>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</si>
  <si>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</si>
  <si>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</si>
  <si>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</si>
  <si>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</si>
  <si>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</si>
  <si>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</si>
  <si>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</si>
  <si>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</si>
  <si>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</si>
  <si>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</si>
  <si>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</si>
  <si>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</si>
  <si>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</si>
  <si>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</si>
  <si>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</si>
  <si>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</si>
  <si>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</si>
  <si>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</si>
  <si>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</si>
  <si>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</si>
  <si>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</si>
  <si>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</si>
  <si>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</si>
  <si>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</si>
  <si>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</si>
  <si>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</si>
  <si>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</si>
  <si>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</si>
  <si>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</si>
  <si>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</si>
  <si>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</si>
  <si>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</si>
  <si>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</si>
  <si>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</si>
  <si>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</si>
  <si>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</si>
  <si>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</si>
  <si>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</si>
  <si>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</si>
  <si>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</si>
  <si>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</si>
  <si>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</si>
  <si>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</si>
  <si>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</si>
  <si>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</si>
  <si>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</si>
  <si>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</si>
  <si>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</si>
  <si>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</si>
  <si>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</si>
  <si>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</si>
  <si>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</si>
  <si>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</si>
  <si>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</si>
  <si>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</si>
  <si>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</si>
  <si>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</si>
  <si>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</si>
  <si>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</si>
  <si>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</si>
  <si>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</si>
  <si>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</si>
  <si>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</si>
  <si>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</si>
  <si>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</si>
  <si>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</si>
  <si>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</si>
  <si>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</si>
  <si>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</si>
  <si>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</si>
  <si>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</si>
  <si>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</si>
  <si>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</si>
  <si>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</si>
  <si>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</si>
  <si>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</si>
  <si>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</si>
  <si>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</si>
  <si>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</si>
  <si>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</si>
  <si>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</si>
  <si>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</si>
  <si>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</si>
  <si>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</si>
  <si>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</si>
  <si>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</si>
  <si>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</si>
  <si>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</si>
  <si>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</si>
  <si>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</si>
  <si>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</si>
  <si>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</si>
  <si>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</si>
  <si>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</si>
  <si>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</si>
  <si>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</si>
  <si>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</si>
  <si>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</si>
  <si>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</si>
  <si>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</si>
  <si>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</si>
  <si>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</si>
  <si>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</si>
  <si>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</si>
  <si>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</si>
  <si>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</si>
  <si>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</si>
  <si>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</si>
  <si>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</si>
  <si>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</si>
  <si>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</si>
  <si>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</si>
  <si>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</si>
  <si>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</si>
  <si>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</si>
  <si>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</si>
  <si>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</si>
  <si>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</si>
  <si>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</si>
  <si>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</si>
  <si>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</si>
  <si>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</si>
  <si>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</si>
  <si>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</si>
  <si>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</si>
  <si>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</si>
  <si>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</si>
  <si>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</si>
  <si>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</si>
  <si>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</si>
  <si>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</si>
  <si>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</si>
  <si>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</si>
  <si>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</si>
  <si>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</si>
  <si>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</si>
  <si>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</si>
  <si>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</si>
  <si>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</si>
  <si>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</si>
  <si>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</si>
  <si>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</si>
  <si>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</si>
  <si>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</si>
  <si>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</si>
  <si>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</si>
  <si>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</si>
  <si>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</si>
  <si>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</si>
  <si>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</si>
  <si>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</si>
  <si>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</si>
  <si>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</si>
  <si>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</si>
  <si>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</si>
  <si>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</si>
  <si>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</si>
  <si>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</si>
  <si>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</si>
  <si>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</si>
  <si>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</si>
  <si>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</si>
  <si>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</si>
  <si>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</si>
  <si>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</si>
  <si>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</si>
  <si>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</si>
  <si>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</si>
  <si>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</si>
  <si>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</si>
  <si>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</si>
  <si>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</si>
  <si>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</si>
  <si>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</si>
  <si>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</si>
  <si>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</si>
  <si>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</si>
  <si>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</si>
  <si>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</si>
  <si>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</si>
  <si>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</si>
  <si>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</si>
  <si>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</si>
  <si>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</si>
  <si>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</si>
  <si>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</si>
  <si>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</si>
  <si>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</si>
  <si>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</si>
  <si>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</si>
  <si>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</si>
  <si>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</si>
  <si>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</si>
  <si>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</si>
  <si>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</si>
  <si>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</si>
  <si>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</si>
  <si>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</si>
  <si>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</si>
  <si>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</si>
  <si>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</si>
  <si>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</si>
  <si>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</si>
  <si>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</si>
  <si>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</si>
  <si>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</si>
  <si>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</si>
  <si>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</si>
  <si>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</si>
  <si>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</si>
  <si>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</si>
  <si>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</si>
  <si>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</si>
  <si>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</si>
  <si>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</si>
  <si>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</si>
  <si>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</si>
  <si>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</si>
  <si>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</si>
  <si>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</si>
  <si>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</si>
  <si>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</si>
  <si>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</si>
  <si>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</si>
  <si>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</si>
  <si>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</si>
  <si>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</si>
  <si>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</si>
  <si>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</si>
  <si>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</si>
  <si>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</si>
  <si>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</si>
  <si>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</si>
  <si>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</si>
  <si>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</si>
  <si>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</si>
  <si>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</si>
  <si>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</si>
  <si>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</si>
  <si>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</si>
  <si>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</si>
  <si>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</si>
  <si>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</si>
  <si>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</si>
  <si>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</si>
  <si>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</si>
  <si>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</si>
  <si>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</si>
  <si>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</si>
  <si>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</si>
  <si>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</si>
  <si>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</si>
  <si>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</si>
  <si>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</si>
  <si>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</si>
  <si>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</si>
  <si>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</si>
  <si>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</si>
  <si>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</si>
  <si>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</si>
  <si>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</si>
  <si>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</si>
  <si>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</si>
  <si>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</si>
  <si>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</si>
  <si>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</si>
  <si>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</si>
  <si>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</si>
  <si>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</si>
  <si>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</si>
  <si>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</si>
  <si>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</si>
  <si>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</si>
  <si>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</si>
  <si>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</si>
  <si>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</si>
  <si>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</si>
  <si>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</si>
  <si>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</si>
  <si>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</si>
  <si>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</si>
  <si>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</si>
  <si>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</si>
  <si>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</si>
  <si>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</si>
  <si>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</si>
  <si>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</si>
  <si>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</si>
  <si>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</si>
  <si>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</si>
  <si>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</si>
  <si>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</si>
  <si>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</si>
  <si>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</si>
  <si>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</si>
  <si>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</si>
  <si>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</si>
  <si>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</si>
  <si>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</si>
  <si>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</si>
  <si>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</si>
  <si>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</si>
  <si>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</si>
  <si>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</si>
  <si>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</si>
  <si>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</si>
  <si>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</si>
  <si>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</si>
  <si>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</si>
  <si>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</si>
  <si>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</si>
  <si>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</si>
  <si>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</si>
  <si>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</si>
  <si>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</si>
  <si>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</si>
  <si>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</si>
  <si>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</si>
  <si>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</si>
  <si>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</si>
  <si>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</si>
  <si>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</si>
  <si>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</si>
  <si>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</si>
  <si>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</si>
  <si>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</si>
  <si>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</si>
  <si>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</si>
  <si>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</si>
  <si>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</si>
  <si>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</si>
  <si>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</si>
  <si>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</si>
  <si>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</si>
  <si>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</si>
  <si>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</si>
  <si>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</si>
  <si>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</si>
  <si>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</si>
  <si>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</si>
  <si>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</si>
  <si>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</si>
  <si>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</si>
  <si>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</si>
  <si>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</si>
  <si>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</si>
  <si>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</si>
  <si>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</si>
  <si>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</si>
  <si>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</si>
  <si>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</si>
  <si>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</si>
  <si>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</si>
  <si>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</si>
  <si>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</si>
  <si>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</si>
  <si>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</si>
  <si>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</si>
  <si>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</si>
  <si>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</si>
  <si>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</si>
  <si>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</si>
  <si>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</si>
  <si>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</si>
  <si>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</si>
  <si>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</si>
  <si>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</si>
  <si>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</si>
  <si>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</si>
  <si>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</si>
  <si>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</si>
  <si>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</si>
  <si>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</si>
  <si>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</si>
  <si>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</si>
  <si>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</si>
  <si>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</si>
  <si>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</si>
  <si>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</si>
  <si>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</si>
  <si>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</si>
  <si>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</si>
  <si>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</si>
  <si>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</si>
  <si>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</si>
  <si>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</si>
  <si>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</si>
  <si>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</si>
  <si>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</si>
  <si>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</si>
  <si>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</si>
  <si>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</si>
  <si>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</si>
  <si>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</si>
  <si>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</si>
  <si>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</si>
  <si>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</si>
  <si>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</si>
  <si>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</si>
  <si>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</si>
  <si>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</si>
  <si>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</si>
  <si>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</si>
  <si>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</si>
  <si>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</si>
  <si>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</si>
  <si>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</si>
  <si>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</si>
  <si>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</si>
  <si>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</si>
  <si>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</si>
  <si>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</si>
  <si>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</si>
  <si>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</si>
  <si>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</si>
  <si>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</si>
  <si>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</si>
  <si>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</si>
  <si>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</si>
  <si>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</si>
  <si>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</si>
  <si>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</si>
  <si>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</si>
  <si>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</si>
  <si>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</si>
  <si>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</si>
  <si>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</si>
  <si>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</si>
  <si>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</si>
  <si>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</si>
  <si>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</si>
  <si>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</si>
  <si>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</si>
  <si>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</si>
  <si>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</si>
  <si>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</si>
  <si>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</si>
  <si>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</si>
  <si>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</si>
  <si>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</si>
  <si>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</si>
  <si>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</si>
  <si>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</si>
  <si>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</si>
  <si>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</si>
  <si>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</si>
  <si>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</si>
  <si>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</si>
  <si>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</si>
  <si>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</si>
  <si>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</si>
  <si>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</si>
  <si>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</si>
  <si>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</si>
  <si>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</si>
  <si>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</si>
  <si>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</si>
  <si>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</si>
  <si>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</si>
  <si>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</si>
  <si>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</si>
  <si>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</si>
  <si>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</si>
  <si>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</si>
  <si>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</si>
  <si>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</si>
  <si>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</si>
  <si>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</si>
  <si>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</si>
  <si>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</si>
  <si>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</si>
  <si>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</si>
  <si>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</si>
  <si>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</si>
  <si>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</si>
  <si>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</si>
  <si>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</si>
  <si>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</si>
  <si>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</si>
  <si>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</si>
  <si>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</si>
  <si>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</si>
  <si>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</si>
  <si>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</si>
  <si>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</si>
  <si>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</si>
  <si>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</si>
  <si>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</si>
  <si>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</si>
  <si>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</si>
  <si>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</si>
  <si>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</si>
  <si>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</si>
  <si>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</si>
  <si>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</si>
  <si>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</si>
  <si>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</si>
  <si>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</si>
  <si>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</si>
  <si>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</si>
  <si>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</si>
  <si>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</si>
  <si>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</si>
  <si>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</si>
  <si>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</si>
  <si>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</si>
  <si>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</si>
  <si>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</si>
  <si>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</si>
  <si>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</si>
  <si>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</si>
  <si>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</si>
  <si>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</si>
  <si>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</si>
  <si>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</si>
  <si>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</si>
  <si>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</si>
  <si>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</si>
  <si>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</si>
  <si>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</si>
  <si>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</si>
  <si>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</si>
  <si>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</si>
  <si>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</si>
  <si>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</si>
  <si>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</si>
  <si>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</si>
  <si>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</si>
  <si>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</si>
  <si>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</si>
  <si>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</si>
  <si>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</si>
  <si>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</si>
  <si>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</si>
  <si>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</si>
  <si>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</si>
  <si>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</si>
  <si>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</si>
  <si>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</si>
  <si>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</si>
  <si>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</si>
  <si>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</si>
  <si>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</si>
  <si>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</si>
  <si>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</si>
  <si>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</si>
  <si>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</si>
  <si>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</si>
  <si>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</si>
  <si>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</si>
  <si>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</si>
  <si>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</si>
  <si>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</si>
  <si>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</si>
  <si>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</si>
  <si>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</si>
  <si>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</si>
  <si>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</si>
  <si>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</si>
  <si>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</si>
  <si>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</si>
  <si>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</si>
  <si>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</si>
  <si>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</si>
  <si>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</si>
  <si>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</si>
  <si>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</si>
  <si>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</si>
  <si>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</si>
  <si>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</si>
  <si>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</si>
  <si>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</si>
  <si>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</si>
  <si>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</si>
  <si>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</si>
  <si>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</si>
  <si>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</si>
  <si>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</si>
  <si>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</si>
  <si>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</si>
  <si>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</si>
  <si>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</si>
  <si>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</si>
  <si>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</si>
  <si>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</si>
  <si>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</si>
  <si>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</si>
  <si>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</si>
  <si>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</si>
  <si>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</si>
  <si>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</si>
  <si>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</si>
  <si>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</si>
  <si>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</si>
  <si>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</si>
  <si>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</si>
  <si>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</si>
  <si>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</si>
  <si>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</si>
  <si>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</si>
  <si>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</si>
  <si>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</si>
  <si>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</si>
  <si>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</si>
  <si>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</si>
  <si>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</si>
  <si>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</si>
  <si>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</si>
  <si>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</si>
  <si>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</si>
  <si>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</si>
  <si>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</si>
  <si>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</si>
  <si>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</si>
  <si>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</si>
  <si>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</si>
  <si>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</si>
  <si>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</si>
  <si>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</si>
  <si>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</si>
  <si>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</si>
  <si>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</si>
  <si>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</si>
  <si>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</si>
  <si>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</si>
  <si>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</si>
  <si>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</si>
  <si>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</si>
  <si>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</si>
  <si>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</si>
  <si>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</si>
  <si>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</si>
  <si>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</si>
  <si>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</si>
  <si>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</si>
  <si>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</si>
  <si>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</si>
  <si>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</si>
  <si>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</si>
  <si>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</si>
  <si>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</si>
  <si>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</si>
  <si>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</si>
  <si>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</si>
  <si>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</si>
  <si>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</si>
  <si>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</si>
  <si>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</si>
  <si>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</si>
  <si>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</si>
  <si>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</si>
  <si>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</si>
  <si>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</si>
  <si>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</si>
  <si>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</si>
  <si>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</si>
  <si>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</si>
  <si>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</si>
  <si>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</si>
  <si>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</si>
  <si>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</si>
  <si>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</si>
  <si>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</si>
  <si>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</si>
  <si>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</si>
  <si>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</si>
  <si>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</si>
  <si>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</si>
  <si>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</si>
  <si>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</si>
  <si>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</si>
  <si>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</si>
  <si>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</si>
  <si>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</si>
  <si>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</si>
  <si>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</si>
  <si>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</si>
  <si>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</si>
  <si>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</si>
  <si>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</si>
  <si>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</si>
  <si>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</si>
  <si>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</si>
  <si>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</si>
  <si>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</si>
  <si>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</si>
  <si>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</si>
  <si>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</si>
  <si>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</si>
  <si>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</si>
  <si>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</si>
  <si>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</si>
  <si>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</si>
  <si>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</si>
  <si>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</si>
  <si>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</si>
  <si>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</si>
  <si>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</si>
  <si>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</si>
  <si>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</si>
  <si>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</si>
  <si>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</si>
  <si>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</si>
  <si>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</si>
  <si>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</si>
  <si>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</si>
  <si>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</si>
  <si>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</si>
  <si>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</si>
  <si>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</si>
  <si>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</si>
  <si>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</si>
  <si>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</si>
  <si>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</si>
  <si>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</si>
  <si>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</si>
  <si>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</si>
  <si>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</si>
  <si>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</si>
  <si>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</si>
  <si>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</si>
  <si>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</si>
  <si>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</si>
  <si>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</si>
  <si>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</si>
  <si>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</si>
  <si>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</si>
  <si>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</si>
  <si>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</si>
  <si>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</si>
  <si>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</si>
  <si>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</si>
  <si>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</si>
  <si>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</si>
  <si>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</si>
  <si>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</si>
  <si>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</si>
  <si>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</si>
  <si>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</si>
  <si>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</si>
  <si>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</si>
  <si>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</si>
  <si>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</si>
  <si>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</si>
  <si>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</si>
  <si>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</si>
  <si>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</si>
  <si>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</si>
  <si>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</si>
  <si>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</si>
  <si>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</si>
  <si>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</si>
  <si>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</si>
  <si>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</si>
  <si>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</si>
  <si>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</si>
  <si>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</si>
  <si>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</si>
  <si>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</si>
  <si>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</si>
  <si>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</si>
  <si>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</si>
  <si>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</si>
  <si>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</si>
  <si>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</si>
  <si>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</si>
  <si>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</si>
  <si>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</si>
  <si>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</si>
  <si>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</si>
  <si>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</si>
  <si>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</si>
  <si>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</si>
  <si>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</si>
  <si>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</si>
  <si>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</si>
  <si>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</si>
  <si>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</si>
  <si>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</si>
  <si>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</si>
  <si>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</si>
  <si>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</si>
  <si>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</si>
  <si>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</si>
  <si>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</si>
  <si>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</si>
  <si>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</si>
  <si>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</si>
  <si>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</si>
  <si>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</si>
  <si>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</si>
  <si>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</si>
  <si>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</si>
  <si>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</si>
  <si>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</si>
  <si>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</si>
  <si>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</si>
  <si>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</si>
  <si>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</si>
  <si>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</si>
  <si>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</si>
  <si>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</si>
  <si>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</si>
  <si>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</si>
  <si>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</si>
  <si>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</si>
  <si>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</si>
  <si>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</si>
  <si>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</si>
  <si>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</si>
  <si>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</si>
  <si>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</si>
  <si>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</si>
  <si>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</si>
  <si>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</si>
  <si>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</si>
  <si>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</si>
  <si>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</si>
  <si>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</si>
  <si>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</si>
  <si>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</si>
  <si>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</si>
  <si>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</si>
  <si>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</si>
  <si>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</si>
  <si>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</si>
  <si>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</si>
  <si>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</si>
  <si>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</si>
  <si>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</si>
  <si>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</si>
  <si>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</si>
  <si>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</si>
  <si>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</si>
  <si>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</si>
  <si>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</si>
  <si>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</si>
  <si>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</si>
  <si>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</si>
  <si>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</si>
  <si>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</si>
  <si>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</si>
  <si>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</si>
  <si>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</si>
  <si>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</si>
  <si>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</si>
  <si>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</si>
  <si>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</si>
  <si>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</si>
  <si>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</si>
  <si>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</si>
  <si>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</si>
  <si>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</si>
  <si>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</si>
  <si>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</si>
  <si>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</si>
  <si>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</si>
  <si>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</si>
  <si>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</si>
  <si>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</si>
  <si>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</si>
  <si>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</si>
  <si>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</si>
  <si>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</si>
  <si>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</si>
  <si>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</si>
  <si>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</si>
  <si>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</si>
  <si>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</si>
  <si>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</si>
  <si>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</si>
  <si>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</si>
  <si>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</si>
  <si>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</si>
  <si>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</si>
  <si>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</si>
  <si>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</si>
  <si>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</si>
  <si>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</si>
  <si>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</si>
  <si>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</si>
  <si>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</si>
  <si>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</si>
  <si>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</si>
  <si>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</si>
  <si>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</si>
  <si>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</si>
  <si>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</si>
  <si>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</si>
  <si>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</si>
  <si>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</si>
  <si>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</si>
  <si>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</si>
  <si>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</si>
  <si>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</si>
  <si>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</si>
  <si>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</si>
  <si>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</si>
  <si>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</si>
  <si>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</si>
  <si>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</si>
  <si>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</si>
  <si>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</si>
  <si>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</si>
  <si>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</si>
  <si>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</si>
  <si>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</si>
  <si>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</si>
  <si>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</si>
  <si>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</si>
  <si>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</si>
  <si>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</si>
  <si>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</si>
  <si>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</si>
  <si>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</si>
  <si>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</si>
  <si>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</si>
  <si>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</si>
  <si>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</si>
  <si>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</si>
  <si>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</si>
  <si>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</si>
  <si>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</si>
  <si>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</si>
  <si>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</si>
  <si>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</si>
  <si>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</si>
  <si>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</si>
  <si>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</si>
  <si>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</si>
  <si>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</si>
  <si>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</si>
  <si>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</si>
  <si>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</si>
  <si>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</si>
  <si>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</si>
  <si>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</si>
  <si>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</si>
  <si>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</si>
  <si>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</si>
  <si>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</si>
  <si>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</si>
  <si>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</si>
  <si>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</si>
  <si>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</si>
  <si>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</si>
  <si>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</si>
  <si>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</si>
  <si>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</si>
  <si>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</si>
  <si>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</si>
  <si>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</si>
  <si>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</si>
  <si>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</si>
  <si>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</si>
  <si>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</si>
  <si>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</si>
  <si>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</si>
  <si>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</si>
  <si>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</si>
  <si>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</si>
  <si>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</si>
  <si>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</si>
  <si>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</si>
  <si>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</si>
  <si>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</si>
  <si>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</si>
  <si>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</si>
  <si>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</si>
  <si>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</si>
  <si>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</si>
  <si>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</si>
  <si>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</si>
  <si>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</si>
  <si>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</si>
  <si>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</si>
  <si>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</si>
  <si>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</si>
  <si>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</si>
  <si>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</si>
  <si>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</si>
  <si>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</si>
  <si>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</si>
  <si>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</si>
  <si>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</si>
  <si>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</si>
  <si>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</si>
  <si>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</si>
  <si>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</si>
  <si>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</si>
  <si>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</si>
  <si>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</si>
  <si>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</si>
  <si>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</si>
  <si>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</si>
  <si>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</si>
  <si>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</si>
  <si>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</si>
  <si>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</si>
  <si>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</si>
  <si>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</si>
  <si>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</si>
  <si>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</si>
  <si>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</si>
  <si>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</si>
  <si>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</si>
  <si>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</si>
  <si>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</si>
  <si>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</si>
  <si>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</si>
  <si>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</si>
  <si>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</si>
  <si>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</si>
  <si>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</si>
  <si>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</si>
  <si>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</si>
  <si>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</si>
  <si>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</si>
  <si>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</si>
  <si>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</si>
  <si>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</si>
  <si>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</si>
  <si>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</si>
  <si>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</si>
  <si>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</si>
  <si>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</si>
  <si>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</si>
  <si>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</si>
  <si>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</si>
  <si>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</si>
  <si>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</si>
  <si>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</si>
  <si>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</si>
  <si>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</si>
  <si>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</si>
  <si>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</si>
  <si>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</si>
  <si>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</si>
  <si>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</si>
  <si>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</si>
  <si>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</si>
  <si>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</si>
  <si>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</si>
  <si>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</si>
  <si>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</si>
  <si>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</si>
  <si>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</si>
  <si>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</si>
  <si>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</si>
  <si>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</si>
  <si>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</si>
  <si>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</si>
  <si>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</si>
  <si>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</si>
  <si>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</si>
  <si>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</si>
  <si>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</si>
  <si>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</si>
  <si>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</si>
  <si>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</si>
  <si>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</si>
  <si>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</si>
  <si>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</si>
  <si>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</si>
  <si>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</si>
  <si>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</si>
  <si>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</si>
  <si>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</si>
  <si>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</si>
  <si>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</si>
  <si>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</si>
  <si>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</si>
  <si>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</si>
  <si>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</si>
  <si>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</si>
  <si>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</si>
  <si>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</si>
  <si>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</si>
  <si>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</si>
  <si>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</si>
  <si>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</si>
  <si>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</si>
  <si>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</si>
  <si>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</si>
  <si>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</si>
  <si>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</si>
  <si>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</si>
  <si>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</si>
  <si>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</si>
  <si>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</si>
  <si>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</si>
  <si>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</si>
  <si>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</si>
  <si>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</si>
  <si>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</si>
  <si>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</si>
  <si>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</si>
  <si>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</si>
  <si>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</si>
  <si>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</si>
  <si>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</si>
  <si>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</si>
  <si>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</si>
  <si>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</si>
  <si>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</si>
  <si>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</si>
  <si>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</si>
  <si>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</si>
  <si>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</si>
  <si>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</si>
  <si>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</si>
  <si>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</si>
  <si>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</si>
  <si>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</si>
  <si>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</si>
  <si>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</si>
  <si>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</si>
  <si>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</si>
  <si>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</si>
  <si>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</si>
  <si>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</si>
  <si>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</si>
  <si>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</si>
  <si>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</si>
  <si>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</si>
  <si>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</si>
  <si>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</si>
  <si>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</si>
  <si>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</si>
  <si>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</si>
  <si>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</si>
  <si>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</si>
  <si>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</si>
  <si>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</si>
  <si>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</si>
  <si>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</si>
  <si>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</si>
  <si>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</si>
  <si>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</si>
  <si>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</si>
  <si>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</si>
  <si>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</si>
  <si>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</si>
  <si>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</si>
  <si>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</si>
  <si>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</si>
  <si>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</si>
  <si>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</si>
  <si>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</si>
  <si>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</si>
  <si>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</si>
  <si>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</si>
  <si>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</si>
  <si>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</si>
  <si>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</si>
  <si>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</si>
  <si>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</si>
  <si>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</si>
  <si>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</si>
  <si>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</si>
  <si>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</si>
  <si>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</si>
  <si>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</si>
  <si>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</si>
  <si>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</si>
  <si>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</si>
  <si>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</si>
  <si>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</si>
  <si>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</si>
  <si>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</si>
  <si>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</si>
  <si>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</si>
  <si>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</si>
  <si>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</si>
  <si>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</si>
  <si>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</si>
  <si>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</si>
  <si>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</si>
  <si>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</si>
  <si>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</si>
  <si>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</si>
  <si>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</si>
  <si>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</si>
  <si>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</si>
  <si>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</si>
  <si>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</si>
  <si>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</si>
  <si>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</si>
  <si>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</si>
  <si>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</si>
  <si>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</si>
  <si>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</si>
  <si>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</si>
  <si>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</si>
  <si>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</si>
  <si>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</si>
  <si>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</si>
  <si>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</si>
  <si>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</si>
  <si>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</si>
  <si>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</si>
  <si>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</si>
  <si>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</si>
  <si>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</si>
  <si>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</si>
  <si>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</si>
  <si>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</si>
  <si>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</si>
  <si>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</si>
  <si>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</si>
  <si>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</si>
  <si>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</si>
  <si>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</si>
  <si>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</si>
  <si>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</si>
  <si>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</si>
  <si>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</si>
  <si>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</si>
  <si>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</si>
  <si>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</si>
  <si>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</si>
  <si>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</si>
  <si>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</si>
  <si>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</si>
  <si>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</si>
  <si>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</si>
  <si>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</si>
  <si>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</si>
  <si>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</si>
  <si>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</si>
  <si>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</si>
  <si>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</si>
  <si>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</si>
  <si>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</si>
  <si>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</si>
  <si>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</si>
  <si>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</si>
  <si>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</si>
  <si>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</si>
  <si>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</si>
  <si>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</si>
  <si>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</si>
  <si>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</si>
  <si>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</si>
  <si>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</si>
  <si>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</si>
  <si>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</si>
  <si>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</si>
  <si>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</si>
  <si>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</si>
  <si>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</si>
  <si>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</si>
  <si>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</si>
  <si>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</si>
  <si>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</si>
  <si>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</si>
  <si>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</si>
  <si>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</si>
  <si>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</si>
  <si>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</si>
  <si>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</si>
  <si>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</si>
  <si>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</si>
  <si>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</si>
  <si>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</si>
  <si>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</si>
  <si>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</si>
  <si>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</si>
  <si>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</si>
  <si>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</si>
  <si>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</si>
  <si>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</si>
  <si>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</si>
  <si>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</si>
  <si>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</si>
  <si>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</si>
  <si>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</si>
  <si>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</si>
  <si>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</si>
  <si>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</si>
  <si>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</si>
  <si>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</si>
  <si>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</si>
  <si>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</si>
  <si>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</si>
  <si>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</si>
  <si>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</si>
  <si>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</si>
  <si>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</si>
  <si>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</si>
  <si>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</si>
  <si>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</si>
  <si>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</si>
  <si>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</si>
  <si>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</si>
  <si>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</si>
  <si>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</si>
  <si>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</si>
  <si>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</si>
  <si>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</si>
  <si>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</si>
  <si>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</si>
  <si>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</si>
  <si>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</si>
  <si>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</si>
  <si>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</si>
  <si>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</si>
  <si>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</si>
  <si>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</si>
  <si>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</si>
  <si>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</si>
  <si>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</si>
  <si>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</si>
  <si>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</si>
  <si>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</si>
  <si>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</si>
  <si>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</si>
  <si>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</si>
  <si>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</si>
  <si>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</si>
  <si>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</si>
  <si>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</si>
  <si>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</si>
  <si>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</si>
  <si>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</si>
  <si>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</si>
  <si>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</si>
  <si>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</si>
  <si>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</si>
  <si>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</si>
  <si>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</si>
  <si>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</si>
  <si>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</si>
  <si>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</si>
  <si>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</si>
  <si>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</si>
  <si>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</si>
  <si>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</si>
  <si>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</si>
  <si>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</si>
  <si>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</si>
  <si>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</si>
  <si>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</si>
  <si>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</si>
  <si>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</si>
  <si>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</si>
  <si>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</si>
  <si>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</si>
  <si>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</si>
  <si>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</si>
  <si>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</si>
  <si>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</si>
  <si>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</si>
  <si>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</si>
  <si>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</si>
  <si>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</si>
  <si>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</si>
  <si>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</si>
  <si>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</si>
  <si>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</si>
  <si>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</si>
  <si>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</si>
  <si>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</si>
  <si>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</si>
  <si>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</si>
  <si>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</si>
  <si>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</si>
  <si>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</si>
  <si>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</si>
  <si>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</si>
  <si>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</si>
  <si>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</si>
  <si>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</si>
  <si>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</si>
  <si>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</si>
  <si>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</si>
  <si>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</si>
  <si>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</si>
  <si>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</si>
  <si>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</si>
  <si>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</si>
  <si>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</si>
  <si>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</si>
  <si>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</si>
  <si>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</si>
  <si>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</si>
  <si>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</si>
  <si>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</si>
  <si>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</si>
  <si>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</si>
  <si>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</si>
  <si>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</si>
  <si>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</si>
  <si>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</si>
  <si>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</si>
  <si>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</si>
  <si>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</si>
  <si>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</si>
  <si>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</si>
  <si>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</si>
  <si>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</si>
  <si>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</si>
  <si>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</si>
  <si>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</si>
  <si>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</si>
  <si>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</si>
  <si>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</si>
  <si>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</si>
  <si>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</si>
  <si>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</si>
  <si>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</si>
  <si>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</si>
  <si>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</si>
  <si>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</si>
  <si>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</si>
  <si>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</si>
  <si>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</si>
  <si>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</si>
  <si>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</si>
  <si>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</si>
  <si>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</si>
  <si>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</si>
  <si>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</si>
  <si>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</si>
  <si>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</si>
  <si>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</si>
  <si>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</si>
  <si>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</si>
  <si>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</si>
  <si>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</si>
  <si>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</si>
  <si>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</si>
  <si>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</si>
  <si>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</si>
  <si>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</si>
  <si>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</si>
  <si>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</si>
  <si>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</si>
  <si>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</si>
  <si>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</si>
  <si>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</si>
  <si>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</si>
  <si>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</si>
  <si>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</si>
  <si>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</si>
  <si>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</si>
  <si>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</si>
  <si>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</si>
  <si>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</si>
  <si>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</si>
  <si>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</si>
  <si>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</si>
  <si>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</si>
  <si>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</si>
  <si>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</si>
  <si>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</si>
  <si>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</si>
  <si>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</si>
  <si>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</si>
  <si>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</si>
  <si>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</si>
  <si>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</si>
  <si>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</si>
  <si>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</si>
  <si>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</si>
  <si>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</si>
  <si>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</si>
  <si>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</si>
  <si>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</si>
  <si>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</si>
  <si>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</si>
  <si>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</si>
  <si>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</si>
  <si>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</si>
  <si>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</si>
  <si>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</si>
  <si>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</si>
  <si>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</si>
  <si>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</si>
  <si>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</si>
  <si>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</si>
  <si>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</si>
  <si>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</si>
  <si>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</si>
  <si>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</si>
  <si>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</si>
  <si>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</si>
  <si>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</si>
  <si>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</si>
  <si>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</si>
  <si>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</si>
  <si>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</si>
  <si>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</si>
  <si>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</si>
  <si>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</si>
  <si>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</si>
  <si>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</si>
  <si>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</si>
  <si>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</si>
  <si>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</si>
  <si>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</si>
  <si>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</si>
  <si>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</si>
  <si>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</si>
  <si>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</si>
  <si>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</si>
  <si>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</si>
  <si>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</si>
  <si>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</si>
  <si>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</si>
  <si>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</si>
  <si>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</si>
  <si>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</si>
  <si>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</si>
  <si>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</si>
  <si>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</si>
  <si>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</si>
  <si>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</si>
  <si>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</si>
  <si>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</si>
  <si>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</si>
  <si>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</si>
  <si>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</si>
  <si>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</si>
  <si>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</si>
  <si>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</si>
  <si>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</si>
  <si>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</si>
  <si>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</si>
  <si>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</si>
  <si>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</si>
  <si>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</si>
  <si>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</si>
  <si>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</si>
  <si>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</si>
  <si>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</si>
  <si>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</si>
  <si>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</si>
  <si>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</si>
  <si>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</si>
  <si>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</si>
  <si>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</si>
  <si>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</si>
  <si>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</si>
  <si>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</si>
  <si>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</si>
  <si>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</si>
  <si>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</si>
  <si>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</si>
  <si>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</si>
  <si>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</si>
  <si>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</si>
  <si>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</si>
  <si>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</si>
  <si>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</si>
  <si>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</si>
  <si>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</si>
  <si>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</si>
  <si>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</si>
  <si>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</si>
  <si>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</si>
  <si>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</si>
  <si>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</si>
  <si>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</si>
  <si>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</si>
  <si>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</si>
  <si>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</si>
  <si>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</si>
  <si>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</si>
  <si>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</si>
  <si>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</si>
  <si>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</si>
  <si>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</si>
  <si>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</si>
  <si>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</si>
  <si>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</si>
  <si>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</si>
  <si>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</si>
  <si>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</si>
  <si>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</si>
  <si>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</si>
  <si>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</si>
  <si>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</si>
  <si>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</si>
  <si>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</si>
  <si>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</si>
  <si>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</si>
  <si>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</si>
  <si>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</si>
  <si>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</si>
  <si>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</si>
  <si>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</si>
  <si>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</si>
  <si>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</si>
  <si>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</si>
  <si>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</si>
  <si>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</si>
  <si>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</si>
  <si>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</si>
  <si>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</si>
  <si>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</si>
  <si>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</si>
  <si>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</si>
  <si>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</si>
  <si>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</si>
  <si>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</si>
  <si>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</si>
  <si>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</si>
  <si>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</si>
  <si>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</si>
  <si>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</si>
  <si>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</si>
  <si>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</si>
  <si>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</si>
  <si>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</si>
  <si>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</si>
  <si>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</si>
  <si>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</si>
  <si>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</si>
  <si>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</si>
  <si>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</si>
  <si>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</si>
  <si>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</si>
  <si>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</si>
  <si>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</si>
  <si>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</si>
  <si>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</si>
  <si>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</si>
  <si>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</si>
  <si>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</si>
  <si>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</si>
  <si>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</si>
  <si>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</si>
  <si>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</si>
  <si>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</si>
  <si>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</si>
  <si>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</si>
  <si>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</si>
  <si>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</si>
  <si>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</si>
  <si>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</si>
  <si>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</si>
  <si>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</si>
  <si>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</si>
  <si>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</si>
  <si>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</si>
  <si>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</si>
  <si>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</si>
  <si>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</si>
  <si>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</si>
  <si>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</si>
  <si>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</si>
  <si>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</si>
  <si>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</si>
  <si>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</si>
  <si>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</si>
  <si>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</si>
  <si>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</si>
  <si>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</si>
  <si>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</si>
  <si>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</si>
  <si>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</si>
  <si>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</si>
  <si>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</si>
  <si>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</si>
  <si>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</si>
  <si>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</si>
  <si>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</si>
  <si>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</si>
  <si>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</si>
  <si>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</si>
  <si>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</si>
  <si>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</si>
  <si>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</si>
  <si>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</si>
  <si>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</si>
  <si>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</si>
  <si>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</si>
  <si>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</si>
  <si>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</si>
  <si>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</si>
  <si>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</si>
  <si>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</si>
  <si>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</si>
  <si>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</si>
  <si>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</si>
  <si>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</si>
  <si>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</si>
  <si>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</si>
  <si>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</si>
  <si>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</si>
  <si>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</si>
  <si>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</si>
  <si>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</si>
  <si>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</si>
  <si>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</si>
  <si>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</si>
  <si>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</si>
  <si>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</si>
  <si>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</si>
  <si>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</si>
  <si>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</si>
  <si>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</si>
  <si>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</si>
  <si>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</si>
  <si>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</si>
  <si>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</si>
  <si>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</si>
  <si>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</si>
  <si>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</si>
  <si>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</si>
  <si>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</si>
  <si>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</si>
  <si>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</si>
  <si>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</si>
  <si>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</si>
  <si>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</si>
  <si>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</si>
  <si>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</si>
  <si>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</si>
  <si>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</si>
  <si>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</si>
  <si>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</si>
  <si>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</si>
  <si>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</si>
  <si>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</si>
  <si>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</si>
  <si>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</si>
  <si>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</si>
  <si>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</si>
  <si>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</si>
  <si>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</si>
  <si>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</si>
  <si>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</si>
  <si>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</si>
  <si>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</si>
  <si>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</si>
  <si>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</si>
  <si>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</si>
  <si>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</si>
  <si>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</si>
  <si>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</si>
  <si>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</si>
  <si>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</si>
  <si>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</si>
  <si>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</si>
  <si>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</si>
  <si>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</si>
  <si>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</si>
  <si>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</si>
  <si>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</si>
  <si>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</si>
  <si>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</si>
  <si>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</si>
  <si>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</si>
  <si>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</si>
  <si>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</si>
  <si>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</si>
  <si>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</si>
  <si>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</si>
  <si>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</si>
  <si>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</si>
  <si>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</si>
  <si>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</si>
  <si>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</si>
  <si>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</si>
  <si>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</si>
  <si>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</si>
  <si>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</si>
  <si>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</si>
  <si>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</si>
  <si>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</si>
  <si>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</si>
  <si>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</si>
  <si>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</si>
  <si>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</si>
  <si>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</si>
  <si>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</si>
  <si>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</si>
  <si>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</si>
  <si>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</si>
  <si>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</si>
  <si>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</si>
  <si>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</si>
  <si>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</si>
  <si>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</si>
  <si>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</si>
  <si>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</si>
  <si>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</si>
  <si>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</si>
  <si>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</si>
  <si>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</si>
  <si>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</si>
  <si>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</si>
  <si>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</si>
  <si>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</si>
  <si>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</si>
  <si>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</si>
  <si>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</si>
  <si>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</si>
  <si>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</si>
  <si>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</si>
  <si>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</si>
  <si>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</si>
  <si>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</si>
  <si>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</si>
  <si>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</si>
  <si>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</si>
  <si>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</si>
  <si>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</si>
  <si>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</si>
  <si>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</si>
  <si>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</si>
  <si>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</si>
  <si>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</si>
  <si>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</si>
  <si>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</si>
  <si>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</si>
  <si>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</si>
  <si>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</si>
  <si>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</si>
  <si>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</si>
  <si>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</si>
  <si>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</si>
  <si>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</si>
  <si>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</si>
  <si>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</si>
  <si>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</si>
  <si>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</si>
  <si>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</si>
  <si>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</si>
  <si>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</si>
  <si>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</si>
  <si>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</si>
  <si>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</si>
  <si>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</si>
  <si>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</si>
  <si>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</si>
  <si>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</si>
  <si>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</si>
  <si>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</si>
  <si>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</si>
  <si>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</si>
  <si>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</si>
  <si>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</si>
  <si>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</si>
  <si>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</si>
  <si>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</si>
  <si>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</si>
  <si>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</si>
  <si>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</si>
  <si>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</si>
  <si>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</si>
  <si>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</si>
  <si>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</si>
  <si>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</si>
  <si>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</si>
  <si>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</si>
  <si>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</si>
  <si>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</si>
  <si>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</si>
  <si>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</si>
  <si>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</si>
  <si>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</si>
  <si>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</si>
  <si>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</si>
  <si>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</si>
  <si>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</si>
  <si>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</si>
  <si>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</si>
  <si>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</si>
  <si>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</si>
  <si>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</si>
  <si>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</si>
  <si>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</si>
  <si>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</si>
  <si>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</si>
  <si>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</si>
  <si>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</si>
  <si>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</si>
  <si>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</si>
  <si>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</si>
  <si>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</si>
  <si>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</si>
  <si>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</si>
  <si>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</si>
  <si>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</si>
  <si>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</si>
  <si>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</si>
  <si>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</si>
  <si>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</si>
  <si>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</si>
  <si>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</si>
  <si>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</si>
  <si>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</si>
  <si>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</si>
  <si>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</si>
  <si>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</si>
  <si>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</si>
  <si>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</si>
  <si>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</si>
  <si>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</si>
  <si>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</si>
  <si>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</si>
  <si>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</si>
  <si>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</si>
  <si>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</si>
  <si>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</si>
  <si>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</si>
  <si>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</si>
  <si>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</si>
  <si>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</si>
  <si>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</si>
  <si>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</si>
  <si>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</si>
  <si>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</si>
  <si>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</si>
  <si>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</si>
  <si>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</si>
  <si>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</si>
  <si>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</si>
  <si>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</si>
  <si>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</si>
  <si>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</si>
  <si>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</si>
  <si>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</si>
  <si>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</si>
  <si>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</si>
  <si>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</si>
  <si>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</si>
  <si>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</si>
  <si>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</si>
  <si>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</si>
  <si>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</si>
  <si>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</si>
  <si>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</si>
  <si>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</si>
  <si>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</si>
  <si>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</si>
  <si>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</si>
  <si>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</si>
  <si>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</si>
  <si>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</si>
  <si>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</si>
  <si>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</si>
  <si>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</si>
  <si>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</si>
  <si>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</si>
  <si>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</si>
  <si>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</si>
  <si>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</si>
  <si>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</si>
  <si>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</si>
  <si>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</si>
  <si>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</si>
  <si>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</si>
  <si>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</si>
  <si>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</si>
  <si>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</si>
  <si>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</si>
  <si>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</si>
  <si>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</si>
  <si>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</si>
  <si>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</si>
  <si>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</si>
  <si>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</si>
  <si>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</si>
  <si>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</si>
  <si>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</si>
  <si>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</si>
  <si>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</si>
  <si>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</si>
  <si>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</si>
  <si>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</si>
  <si>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</si>
  <si>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</si>
  <si>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</si>
  <si>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</si>
  <si>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</si>
  <si>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</si>
  <si>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</si>
  <si>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</si>
  <si>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</si>
  <si>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</si>
  <si>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</si>
  <si>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</si>
  <si>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</si>
  <si>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</si>
  <si>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</si>
  <si>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</si>
  <si>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</si>
  <si>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</si>
  <si>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</si>
  <si>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</si>
  <si>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</si>
  <si>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</si>
  <si>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</si>
  <si>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</si>
  <si>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</si>
  <si>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</si>
  <si>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</si>
  <si>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</si>
  <si>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</si>
  <si>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</si>
  <si>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</si>
  <si>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</si>
  <si>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</si>
  <si>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</si>
  <si>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</si>
  <si>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</si>
  <si>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</si>
  <si>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</si>
  <si>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</si>
  <si>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</si>
  <si>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</si>
  <si>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</si>
  <si>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</si>
  <si>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</si>
  <si>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</si>
  <si>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</si>
  <si>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</si>
  <si>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</si>
  <si>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</si>
  <si>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</si>
  <si>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</si>
  <si>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</si>
  <si>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</si>
  <si>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</si>
  <si>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</si>
  <si>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</si>
  <si>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</si>
  <si>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</si>
  <si>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</si>
  <si>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</si>
  <si>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</si>
  <si>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</si>
  <si>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</si>
  <si>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</si>
  <si>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</si>
  <si>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</si>
  <si>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</si>
  <si>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</si>
  <si>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</si>
  <si>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</si>
  <si>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</si>
  <si>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</si>
  <si>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</si>
  <si>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</si>
  <si>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</si>
  <si>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</si>
  <si>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</si>
  <si>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</si>
  <si>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</si>
  <si>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</si>
  <si>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</si>
  <si>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</si>
  <si>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</si>
  <si>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</si>
  <si>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</si>
  <si>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</si>
  <si>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</si>
  <si>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</si>
  <si>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</si>
  <si>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</si>
  <si>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</si>
  <si>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</si>
  <si>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</si>
  <si>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</si>
  <si>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</si>
  <si>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</si>
  <si>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</si>
  <si>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</si>
  <si>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</si>
  <si>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</si>
  <si>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</si>
  <si>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</si>
  <si>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</si>
  <si>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</si>
  <si>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</si>
  <si>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</si>
  <si>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</si>
  <si>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</si>
  <si>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</si>
  <si>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</si>
  <si>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</si>
  <si>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</si>
  <si>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</si>
  <si>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</si>
  <si>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</si>
  <si>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</si>
  <si>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</si>
  <si>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</si>
  <si>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</si>
  <si>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</si>
  <si>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</si>
  <si>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</si>
  <si>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</si>
  <si>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</si>
  <si>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</si>
  <si>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</si>
  <si>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</si>
  <si>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</si>
  <si>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</si>
  <si>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</si>
  <si>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</si>
  <si>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</si>
  <si>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</si>
  <si>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</si>
  <si>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</si>
  <si>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</si>
  <si>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</si>
  <si>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</si>
  <si>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</si>
  <si>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</si>
  <si>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</si>
  <si>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</si>
  <si>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</si>
  <si>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</si>
  <si>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</si>
  <si>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</si>
  <si>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</si>
  <si>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</si>
  <si>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</si>
  <si>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</si>
  <si>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</si>
  <si>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</si>
  <si>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</si>
  <si>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</si>
  <si>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</si>
  <si>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</si>
  <si>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</si>
  <si>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</si>
  <si>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</si>
  <si>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</si>
  <si>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</si>
  <si>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</si>
  <si>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</si>
  <si>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</si>
  <si>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</si>
  <si>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</si>
  <si>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</si>
  <si>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</si>
  <si>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</si>
  <si>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</si>
  <si>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</si>
  <si>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</si>
  <si>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</si>
  <si>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</si>
  <si>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</si>
  <si>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</si>
  <si>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</si>
  <si>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</si>
  <si>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</si>
  <si>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</si>
  <si>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</si>
  <si>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</si>
  <si>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</si>
  <si>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</si>
  <si>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</si>
  <si>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</si>
  <si>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</si>
  <si>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</si>
  <si>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</si>
  <si>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</si>
  <si>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</si>
  <si>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</si>
  <si>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</si>
  <si>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</si>
  <si>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</si>
  <si>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</si>
  <si>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</si>
  <si>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</si>
  <si>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</si>
  <si>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</si>
  <si>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</si>
  <si>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</si>
  <si>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</si>
  <si>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</si>
  <si>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</si>
  <si>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</si>
  <si>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</si>
  <si>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</si>
  <si>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</si>
  <si>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</si>
  <si>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</si>
  <si>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</si>
  <si>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</si>
  <si>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</si>
  <si>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</si>
  <si>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</si>
  <si>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</si>
  <si>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</si>
  <si>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</si>
  <si>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</si>
  <si>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</si>
  <si>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</si>
  <si>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</si>
  <si>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</si>
  <si>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</si>
  <si>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</si>
  <si>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</si>
  <si>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</si>
  <si>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</si>
  <si>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</si>
  <si>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</si>
  <si>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</si>
  <si>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</si>
  <si>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</si>
  <si>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</si>
  <si>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</si>
  <si>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</si>
  <si>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</si>
  <si>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</si>
  <si>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</si>
  <si>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</si>
  <si>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</si>
  <si>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</si>
  <si>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</si>
  <si>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</si>
  <si>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</si>
  <si>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</si>
  <si>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</si>
  <si>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</si>
  <si>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</si>
  <si>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</si>
  <si>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</si>
  <si>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</si>
  <si>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</si>
  <si>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</si>
  <si>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</si>
  <si>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</si>
  <si>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</si>
  <si>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</si>
  <si>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</si>
  <si>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</si>
  <si>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</si>
  <si>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</si>
  <si>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</si>
  <si>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</si>
  <si>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</si>
  <si>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</si>
  <si>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</si>
  <si>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</si>
  <si>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</si>
  <si>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</si>
  <si>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</si>
  <si>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</si>
  <si>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</si>
  <si>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</si>
  <si>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</si>
  <si>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</si>
  <si>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</si>
  <si>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</si>
  <si>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</si>
  <si>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</si>
  <si>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</si>
  <si>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</si>
  <si>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</si>
  <si>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</si>
  <si>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</si>
  <si>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</si>
  <si>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</si>
  <si>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</si>
  <si>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</si>
  <si>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</si>
  <si>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</si>
  <si>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</si>
  <si>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</si>
  <si>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</si>
  <si>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</si>
  <si>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</si>
  <si>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</si>
  <si>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</si>
  <si>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</si>
  <si>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</si>
  <si>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</si>
  <si>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</si>
  <si>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</si>
  <si>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</si>
  <si>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</si>
  <si>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</si>
  <si>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</si>
  <si>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</si>
  <si>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</si>
  <si>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</si>
  <si>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</si>
  <si>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</si>
  <si>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</si>
  <si>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</si>
  <si>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</si>
  <si>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</si>
  <si>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</si>
  <si>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</si>
  <si>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</si>
  <si>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</si>
  <si>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</si>
  <si>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</si>
  <si>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</si>
  <si>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</si>
  <si>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</si>
  <si>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</si>
  <si>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</si>
  <si>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</si>
  <si>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</si>
  <si>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</si>
  <si>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</si>
  <si>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</si>
  <si>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</si>
  <si>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</si>
  <si>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</si>
  <si>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</si>
  <si>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</si>
  <si>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</si>
  <si>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</si>
  <si>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</si>
  <si>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</si>
  <si>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</si>
  <si>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</si>
  <si>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</si>
  <si>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</si>
  <si>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</si>
  <si>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</si>
  <si>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</si>
  <si>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</si>
  <si>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</si>
  <si>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</si>
  <si>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</si>
  <si>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</si>
  <si>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</si>
  <si>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</si>
  <si>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</si>
  <si>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</si>
  <si>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</si>
  <si>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</si>
  <si>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</si>
  <si>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</si>
  <si>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</si>
  <si>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</si>
  <si>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</si>
  <si>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</si>
  <si>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</si>
  <si>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</si>
  <si>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</si>
  <si>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</si>
  <si>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</si>
  <si>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</si>
  <si>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</si>
  <si>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</si>
  <si>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</si>
  <si>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</si>
  <si>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</si>
  <si>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</si>
  <si>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</si>
  <si>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</si>
  <si>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</si>
  <si>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</si>
  <si>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</si>
  <si>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</si>
  <si>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</si>
  <si>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</si>
  <si>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</si>
  <si>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</si>
  <si>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</si>
  <si>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</si>
  <si>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</si>
  <si>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</si>
  <si>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</si>
  <si>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</si>
  <si>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</si>
  <si>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</si>
  <si>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</si>
  <si>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</si>
  <si>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</si>
  <si>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</si>
  <si>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</si>
  <si>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</si>
  <si>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</si>
  <si>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</si>
  <si>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</si>
  <si>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</si>
  <si>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</si>
  <si>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</si>
  <si>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</si>
  <si>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</si>
  <si>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</si>
  <si>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</si>
  <si>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</si>
  <si>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</si>
  <si>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</si>
  <si>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</si>
  <si>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</si>
  <si>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</si>
  <si>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</si>
  <si>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</si>
  <si>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</si>
  <si>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</si>
  <si>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</si>
  <si>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</si>
  <si>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</si>
  <si>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</si>
  <si>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</si>
  <si>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</si>
  <si>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</si>
  <si>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</si>
  <si>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</si>
  <si>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</si>
  <si>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</si>
  <si>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</si>
  <si>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</si>
  <si>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</si>
  <si>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</si>
  <si>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</si>
  <si>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</si>
  <si>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</si>
  <si>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</si>
  <si>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</si>
  <si>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</si>
  <si>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</si>
  <si>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</si>
  <si>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</si>
  <si>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</si>
  <si>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</si>
  <si>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</si>
  <si>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</si>
  <si>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</si>
  <si>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</si>
  <si>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</si>
  <si>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</si>
  <si>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</si>
  <si>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</si>
  <si>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</si>
  <si>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</si>
  <si>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</si>
  <si>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</si>
  <si>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</si>
  <si>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</si>
  <si>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</si>
  <si>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</si>
  <si>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</si>
  <si>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</si>
  <si>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</si>
  <si>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</si>
  <si>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</si>
  <si>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</si>
  <si>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</si>
  <si>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</si>
  <si>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</si>
  <si>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</si>
  <si>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</si>
  <si>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</si>
  <si>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</si>
  <si>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</si>
  <si>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</si>
  <si>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</si>
  <si>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</si>
  <si>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</si>
  <si>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</si>
  <si>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</si>
  <si>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</si>
  <si>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</si>
  <si>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</si>
  <si>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</si>
  <si>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</si>
  <si>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</si>
  <si>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</si>
  <si>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</si>
  <si>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</si>
  <si>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</si>
  <si>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</si>
  <si>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</si>
  <si>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</si>
  <si>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</si>
  <si>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</si>
  <si>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</si>
  <si>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</si>
  <si>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</si>
  <si>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</si>
  <si>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</si>
  <si>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</si>
  <si>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</si>
  <si>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</si>
  <si>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</si>
  <si>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</si>
  <si>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</si>
  <si>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</si>
  <si>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</si>
  <si>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</si>
  <si>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</si>
  <si>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</si>
  <si>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</si>
  <si>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</si>
  <si>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</si>
  <si>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</si>
  <si>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</si>
  <si>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</si>
  <si>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</si>
  <si>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</si>
  <si>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</si>
  <si>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</si>
  <si>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</si>
  <si>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</si>
  <si>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</si>
  <si>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</si>
  <si>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</si>
  <si>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</si>
  <si>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</si>
  <si>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</si>
  <si>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</si>
  <si>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</si>
  <si>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</si>
  <si>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</si>
  <si>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</si>
  <si>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</si>
  <si>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</si>
  <si>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</si>
  <si>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</si>
  <si>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</si>
  <si>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</si>
  <si>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</si>
  <si>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</si>
  <si>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</si>
  <si>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</si>
  <si>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</si>
  <si>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</si>
  <si>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</si>
  <si>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</si>
  <si>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</si>
  <si>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</si>
  <si>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</si>
  <si>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</si>
  <si>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</si>
  <si>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</si>
  <si>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</si>
  <si>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</si>
  <si>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</si>
  <si>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</si>
  <si>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</si>
  <si>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</si>
  <si>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</si>
  <si>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</si>
  <si>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</si>
  <si>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</si>
  <si>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</si>
  <si>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</si>
  <si>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</si>
  <si>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</si>
  <si>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</si>
  <si>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</si>
  <si>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</si>
  <si>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</si>
  <si>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</si>
  <si>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</si>
  <si>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</si>
  <si>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</si>
  <si>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</si>
  <si>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</si>
  <si>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</si>
  <si>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</si>
  <si>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</si>
  <si>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</si>
  <si>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</si>
  <si>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</si>
  <si>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</si>
  <si>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</si>
  <si>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</si>
  <si>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</si>
  <si>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</si>
  <si>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</si>
  <si>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</si>
  <si>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</si>
  <si>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</si>
  <si>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</si>
  <si>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</si>
  <si>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</si>
  <si>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</si>
  <si>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</si>
  <si>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</si>
  <si>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</si>
  <si>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</si>
  <si>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</si>
  <si>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</si>
  <si>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</si>
  <si>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</si>
  <si>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</si>
  <si>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</si>
  <si>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</si>
  <si>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</si>
  <si>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</si>
  <si>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</si>
  <si>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</si>
  <si>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</si>
  <si>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</si>
  <si>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</si>
  <si>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</si>
  <si>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</si>
  <si>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</si>
  <si>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</si>
  <si>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</si>
  <si>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</si>
  <si>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</si>
  <si>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</si>
  <si>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</si>
  <si>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</si>
  <si>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</si>
  <si>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</si>
  <si>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</si>
  <si>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</si>
  <si>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</si>
  <si>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</si>
  <si>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</si>
  <si>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</si>
  <si>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</si>
  <si>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</si>
  <si>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</si>
  <si>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</si>
  <si>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</si>
  <si>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</si>
  <si>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</si>
  <si>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</si>
  <si>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</si>
  <si>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</si>
  <si>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</si>
  <si>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</si>
  <si>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</si>
  <si>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</si>
  <si>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</si>
  <si>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</si>
  <si>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</si>
  <si>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</si>
  <si>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</si>
  <si>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</si>
  <si>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</si>
  <si>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</si>
  <si>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</si>
  <si>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</si>
  <si>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</si>
  <si>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</si>
  <si>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</si>
  <si>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</si>
  <si>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</si>
  <si>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</si>
  <si>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</si>
  <si>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</si>
  <si>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</si>
  <si>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</si>
  <si>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</si>
  <si>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</si>
  <si>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</si>
  <si>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</si>
  <si>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</si>
  <si>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</si>
  <si>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</si>
  <si>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</si>
  <si>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</si>
  <si>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</si>
  <si>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</si>
  <si>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</si>
  <si>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</si>
  <si>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</si>
  <si>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</si>
  <si>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</si>
  <si>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</si>
  <si>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</si>
  <si>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</si>
  <si>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</si>
  <si>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</si>
  <si>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</si>
  <si>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</si>
  <si>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</si>
  <si>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</si>
  <si>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</si>
  <si>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</si>
  <si>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</si>
  <si>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</si>
  <si>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</si>
  <si>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</si>
  <si>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</si>
  <si>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</si>
  <si>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</si>
  <si>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</si>
  <si>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</si>
  <si>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</si>
  <si>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</si>
  <si>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</si>
  <si>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</si>
  <si>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</si>
  <si>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</si>
  <si>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</si>
  <si>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</si>
  <si>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</si>
  <si>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</si>
  <si>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</si>
  <si>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</si>
  <si>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</si>
  <si>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</si>
  <si>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</si>
  <si>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</si>
  <si>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</si>
  <si>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</si>
  <si>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</si>
  <si>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</si>
  <si>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</si>
  <si>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</si>
  <si>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</si>
  <si>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</si>
  <si>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</si>
  <si>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</si>
  <si>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</si>
  <si>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</si>
  <si>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</si>
  <si>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</si>
  <si>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</si>
  <si>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</si>
  <si>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</si>
  <si>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</si>
  <si>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</si>
  <si>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</si>
  <si>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</si>
  <si>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</si>
  <si>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</si>
  <si>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</si>
  <si>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</si>
  <si>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</si>
  <si>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</si>
  <si>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</si>
  <si>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</si>
  <si>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</si>
  <si>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</si>
  <si>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</si>
  <si>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</si>
  <si>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</si>
  <si>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</si>
  <si>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</si>
  <si>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</si>
  <si>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</si>
  <si>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</si>
  <si>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</si>
  <si>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</si>
  <si>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</si>
  <si>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</si>
  <si>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</si>
  <si>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</si>
  <si>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</si>
  <si>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</si>
  <si>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</si>
  <si>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</si>
  <si>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</si>
  <si>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</si>
  <si>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</si>
  <si>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</si>
  <si>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</si>
  <si>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</si>
  <si>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</si>
  <si>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</si>
  <si>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</si>
  <si>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</si>
  <si>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</si>
  <si>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</si>
  <si>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</si>
  <si>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</si>
  <si>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</si>
  <si>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</si>
  <si>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</si>
  <si>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</si>
  <si>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</si>
  <si>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</si>
  <si>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</si>
  <si>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</si>
  <si>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</si>
  <si>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</si>
  <si>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</si>
  <si>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</si>
  <si>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</si>
  <si>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</si>
  <si>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</si>
  <si>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</si>
  <si>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</si>
  <si>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</si>
  <si>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</si>
  <si>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</si>
  <si>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</si>
  <si>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</si>
  <si>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</si>
  <si>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</si>
  <si>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</si>
  <si>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</si>
  <si>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</si>
  <si>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</si>
  <si>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</si>
  <si>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</si>
  <si>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</si>
  <si>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</si>
  <si>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</si>
  <si>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</si>
  <si>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</si>
  <si>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</si>
  <si>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</si>
  <si>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</si>
  <si>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</si>
  <si>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</si>
  <si>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</si>
  <si>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</si>
  <si>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</si>
  <si>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</si>
  <si>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</si>
  <si>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</si>
  <si>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</si>
  <si>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</si>
  <si>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</si>
  <si>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</si>
  <si>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</si>
  <si>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</si>
  <si>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</si>
  <si>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</si>
  <si>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</si>
  <si>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</si>
  <si>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</si>
  <si>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</si>
  <si>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</si>
  <si>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</si>
  <si>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</si>
  <si>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</si>
  <si>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</si>
  <si>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</si>
  <si>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</si>
  <si>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</si>
  <si>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</si>
  <si>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</si>
  <si>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</si>
  <si>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</si>
  <si>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</si>
  <si>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</si>
  <si>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</si>
  <si>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</si>
  <si>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</si>
  <si>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</si>
  <si>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</si>
  <si>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</si>
  <si>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</si>
  <si>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</si>
  <si>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</si>
  <si>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</si>
  <si>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</si>
  <si>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</si>
  <si>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</si>
  <si>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</si>
  <si>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</si>
  <si>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</si>
  <si>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</si>
  <si>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</si>
  <si>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</si>
  <si>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</si>
  <si>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</si>
  <si>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</si>
  <si>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</si>
  <si>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</si>
  <si>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</si>
  <si>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</si>
  <si>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</si>
  <si>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</si>
  <si>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</si>
  <si>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</si>
  <si>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</si>
  <si>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</si>
  <si>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</si>
  <si>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</si>
  <si>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</si>
  <si>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</si>
  <si>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</si>
  <si>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</si>
  <si>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</si>
  <si>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</si>
  <si>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</si>
  <si>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</si>
  <si>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</si>
  <si>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</si>
  <si>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</si>
  <si>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</si>
  <si>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</si>
  <si>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</si>
  <si>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</si>
  <si>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</si>
  <si>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</si>
  <si>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</si>
  <si>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</si>
  <si>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</si>
  <si>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</si>
  <si>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</si>
  <si>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</si>
  <si>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</si>
  <si>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</si>
  <si>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</si>
  <si>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</si>
  <si>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</si>
  <si>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</si>
  <si>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</si>
  <si>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</si>
  <si>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</si>
  <si>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</si>
  <si>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</si>
  <si>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</si>
  <si>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</si>
  <si>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</si>
  <si>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</si>
  <si>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</si>
  <si>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</si>
  <si>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</si>
  <si>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</si>
  <si>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</si>
  <si>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</si>
  <si>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</si>
  <si>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</si>
  <si>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</si>
  <si>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</si>
  <si>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</si>
  <si>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</si>
  <si>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</si>
  <si>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</si>
  <si>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</si>
  <si>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</si>
  <si>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</si>
  <si>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</si>
  <si>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</si>
  <si>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</si>
  <si>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</si>
  <si>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</si>
  <si>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</si>
  <si>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</si>
  <si>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</si>
  <si>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</si>
  <si>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</si>
  <si>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</si>
  <si>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</si>
  <si>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</si>
  <si>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</si>
  <si>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</si>
  <si>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</si>
  <si>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</si>
  <si>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</si>
  <si>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</si>
  <si>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</si>
  <si>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</si>
  <si>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</si>
  <si>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</si>
  <si>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</si>
  <si>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</si>
  <si>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</si>
  <si>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</si>
  <si>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</si>
  <si>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</si>
  <si>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</si>
  <si>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</si>
  <si>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</si>
  <si>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</si>
  <si>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</si>
  <si>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</si>
  <si>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</si>
  <si>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</si>
  <si>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</si>
  <si>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</si>
  <si>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</si>
  <si>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</si>
  <si>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</si>
  <si>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</si>
  <si>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</si>
  <si>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</si>
  <si>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</si>
  <si>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</si>
  <si>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</si>
  <si>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</si>
  <si>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</si>
  <si>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</si>
  <si>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</si>
  <si>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</si>
  <si>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</si>
  <si>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</si>
  <si>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</si>
  <si>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</si>
  <si>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</si>
  <si>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</si>
  <si>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</si>
  <si>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</si>
  <si>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</si>
  <si>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</si>
  <si>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</si>
  <si>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</si>
  <si>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</si>
  <si>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</si>
  <si>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</si>
  <si>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</si>
  <si>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</si>
  <si>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</si>
  <si>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</si>
  <si>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</si>
  <si>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</si>
  <si>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</si>
  <si>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</si>
  <si>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</si>
  <si>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</si>
  <si>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</si>
  <si>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</si>
  <si>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</si>
  <si>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</si>
  <si>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</si>
  <si>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</si>
  <si>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</si>
  <si>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</si>
  <si>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</si>
  <si>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</si>
  <si>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</si>
  <si>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</si>
  <si>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</si>
  <si>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</si>
  <si>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</si>
  <si>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</si>
  <si>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</si>
  <si>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</si>
  <si>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</si>
  <si>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</si>
  <si>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</si>
  <si>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</si>
  <si>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</si>
  <si>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</si>
  <si>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</si>
  <si>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</si>
  <si>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</si>
  <si>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</si>
  <si>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</si>
  <si>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</si>
  <si>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</si>
  <si>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</si>
  <si>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</si>
  <si>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</si>
  <si>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</si>
  <si>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</si>
  <si>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</si>
  <si>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</si>
  <si>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</si>
  <si>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</si>
  <si>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</si>
  <si>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</si>
  <si>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</si>
  <si>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</si>
  <si>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</si>
  <si>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</si>
  <si>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</si>
  <si>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</si>
  <si>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</si>
  <si>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</si>
  <si>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</si>
  <si>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</si>
  <si>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</si>
  <si>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</si>
  <si>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</si>
  <si>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</si>
  <si>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</si>
  <si>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</si>
  <si>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</si>
  <si>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</si>
  <si>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</si>
  <si>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</si>
  <si>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</si>
  <si>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</si>
  <si>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</si>
  <si>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</si>
  <si>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</si>
  <si>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</si>
  <si>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</si>
  <si>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</si>
  <si>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</si>
  <si>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</si>
  <si>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</si>
  <si>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</si>
  <si>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</si>
  <si>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</si>
  <si>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</si>
  <si>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</si>
  <si>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</si>
  <si>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</si>
  <si>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</si>
  <si>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</si>
  <si>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</si>
  <si>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</si>
  <si>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</si>
  <si>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</si>
  <si>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</si>
  <si>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</si>
  <si>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</si>
  <si>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</si>
  <si>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</si>
  <si>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</si>
  <si>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</si>
  <si>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</si>
  <si>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</si>
  <si>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</si>
  <si>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</si>
  <si>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</si>
  <si>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</si>
  <si>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</si>
  <si>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</si>
  <si>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</si>
  <si>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</si>
  <si>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</si>
  <si>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</si>
  <si>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</si>
  <si>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</si>
  <si>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</si>
  <si>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</si>
  <si>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</si>
  <si>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</si>
  <si>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</si>
  <si>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</si>
  <si>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</si>
  <si>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</si>
  <si>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</si>
  <si>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</si>
  <si>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</si>
  <si>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</si>
  <si>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</si>
  <si>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</si>
  <si>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</si>
  <si>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</si>
  <si>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</si>
  <si>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</si>
  <si>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</si>
  <si>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</si>
  <si>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</si>
  <si>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</si>
  <si>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</si>
  <si>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</si>
  <si>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</si>
  <si>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</si>
  <si>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</si>
  <si>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</si>
  <si>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</si>
  <si>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</si>
  <si>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</si>
  <si>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</si>
  <si>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</si>
  <si>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</si>
  <si>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</si>
  <si>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</si>
  <si>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</si>
  <si>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</si>
  <si>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</si>
  <si>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</si>
  <si>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</si>
  <si>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</si>
  <si>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</si>
  <si>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</si>
  <si>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</si>
  <si>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</si>
  <si>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</si>
  <si>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</si>
  <si>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</si>
  <si>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</si>
  <si>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</si>
  <si>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</si>
  <si>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</si>
  <si>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</si>
  <si>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</si>
  <si>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</si>
  <si>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</si>
  <si>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</si>
  <si>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</si>
  <si>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</si>
  <si>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</si>
  <si>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</si>
  <si>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</si>
  <si>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</si>
  <si>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</si>
  <si>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</si>
  <si>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</si>
  <si>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</si>
  <si>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</si>
  <si>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</si>
  <si>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</si>
  <si>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</si>
  <si>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</si>
  <si>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</si>
  <si>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</si>
  <si>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</si>
  <si>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</si>
  <si>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</si>
  <si>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</si>
  <si>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</si>
  <si>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</si>
  <si>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</si>
  <si>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</si>
  <si>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</si>
  <si>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</si>
  <si>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</si>
  <si>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</si>
  <si>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</si>
  <si>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</si>
  <si>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</si>
  <si>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</si>
  <si>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</si>
  <si>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</si>
  <si>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</si>
  <si>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</si>
  <si>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</si>
  <si>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</si>
  <si>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</si>
  <si>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</si>
  <si>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</si>
  <si>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</si>
  <si>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</si>
  <si>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</si>
  <si>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</si>
  <si>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</si>
  <si>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</si>
  <si>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</si>
  <si>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</si>
  <si>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</si>
  <si>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</si>
  <si>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</si>
  <si>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</si>
  <si>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</si>
  <si>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</si>
  <si>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</si>
  <si>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</si>
  <si>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</si>
  <si>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</si>
  <si>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</si>
  <si>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</si>
  <si>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</si>
  <si>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</si>
  <si>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</si>
  <si>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</si>
  <si>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</si>
  <si>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</si>
  <si>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</si>
  <si>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</si>
  <si>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</si>
  <si>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</si>
  <si>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</si>
  <si>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</si>
  <si>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</si>
  <si>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</si>
  <si>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</si>
  <si>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</si>
  <si>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</si>
  <si>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</si>
  <si>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</si>
  <si>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</si>
  <si>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</si>
  <si>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</si>
  <si>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</si>
  <si>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</si>
  <si>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</si>
  <si>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</si>
  <si>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</si>
  <si>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</si>
  <si>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</si>
  <si>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</si>
  <si>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</si>
  <si>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</si>
  <si>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</si>
  <si>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</si>
  <si>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</si>
  <si>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</si>
  <si>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</si>
  <si>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</si>
  <si>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</si>
  <si>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</si>
  <si>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</si>
  <si>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</si>
  <si>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</si>
  <si>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</si>
  <si>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</si>
  <si>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</si>
  <si>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</si>
  <si>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</si>
  <si>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</si>
  <si>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</si>
  <si>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</si>
  <si>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</si>
  <si>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</si>
  <si>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</si>
  <si>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</si>
  <si>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</si>
  <si>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</si>
  <si>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</si>
  <si>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</si>
  <si>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</si>
  <si>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</si>
  <si>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</si>
  <si>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</si>
  <si>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</si>
  <si>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</si>
  <si>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</si>
  <si>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</si>
  <si>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</si>
  <si>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</si>
  <si>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</si>
  <si>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</si>
  <si>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</si>
  <si>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</si>
  <si>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</si>
  <si>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</si>
  <si>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</si>
  <si>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</si>
  <si>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</si>
  <si>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</si>
  <si>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</si>
  <si>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</si>
  <si>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</si>
  <si>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</si>
  <si>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</si>
  <si>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</si>
  <si>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</si>
  <si>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</si>
  <si>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</si>
  <si>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</si>
  <si>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</si>
  <si>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</si>
  <si>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</si>
  <si>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</si>
  <si>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</si>
  <si>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</si>
  <si>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</si>
  <si>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</si>
  <si>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</si>
  <si>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</si>
  <si>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</si>
  <si>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</si>
  <si>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</si>
  <si>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</si>
  <si>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</si>
  <si>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</si>
  <si>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</si>
  <si>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</si>
  <si>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</si>
  <si>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</si>
  <si>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</si>
  <si>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</si>
  <si>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</si>
  <si>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</si>
  <si>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</si>
  <si>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</si>
  <si>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</si>
  <si>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</si>
  <si>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</si>
  <si>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</si>
  <si>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</si>
  <si>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</si>
  <si>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</si>
  <si>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</si>
  <si>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</si>
  <si>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</si>
  <si>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</si>
  <si>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</si>
  <si>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</si>
  <si>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</si>
  <si>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</si>
  <si>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</si>
  <si>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</si>
  <si>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</si>
  <si>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</si>
  <si>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</si>
  <si>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</si>
  <si>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</si>
  <si>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</si>
  <si>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</si>
  <si>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</si>
  <si>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</si>
  <si>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</si>
  <si>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</si>
  <si>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</si>
  <si>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</si>
  <si>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</si>
  <si>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</si>
  <si>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</si>
  <si>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</si>
  <si>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</si>
  <si>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</si>
  <si>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</si>
  <si>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</si>
  <si>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</si>
  <si>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</si>
  <si>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</si>
  <si>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</si>
  <si>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</si>
  <si>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</si>
  <si>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</si>
  <si>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</si>
  <si>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</si>
  <si>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</si>
  <si>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</si>
  <si>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</si>
  <si>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</si>
  <si>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</si>
  <si>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</si>
  <si>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</si>
  <si>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</si>
  <si>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</si>
  <si>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</si>
  <si>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</si>
  <si>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</si>
  <si>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</si>
  <si>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</si>
  <si>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</si>
  <si>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</si>
  <si>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</si>
  <si>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</si>
  <si>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</si>
  <si>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</si>
  <si>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</si>
  <si>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</si>
  <si>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</si>
  <si>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</si>
  <si>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</si>
  <si>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</si>
  <si>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</si>
  <si>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</si>
  <si>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</si>
  <si>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</si>
  <si>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</si>
  <si>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</si>
  <si>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</si>
  <si>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</si>
  <si>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</si>
  <si>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</si>
  <si>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</si>
  <si>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</si>
  <si>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</si>
  <si>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</si>
  <si>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</si>
  <si>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</si>
  <si>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</si>
  <si>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</si>
  <si>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</si>
  <si>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</si>
  <si>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</si>
  <si>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</si>
  <si>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</si>
  <si>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</si>
  <si>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</si>
  <si>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</si>
  <si>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</si>
  <si>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</si>
  <si>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</si>
  <si>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</si>
  <si>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</si>
  <si>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</si>
  <si>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</si>
  <si>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</si>
  <si>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</si>
  <si>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</si>
  <si>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</si>
  <si>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</si>
  <si>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</si>
  <si>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</si>
  <si>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</si>
  <si>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</si>
  <si>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</si>
  <si>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</si>
  <si>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</si>
  <si>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</si>
  <si>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</si>
  <si>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</si>
  <si>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</si>
  <si>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</si>
  <si>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</si>
  <si>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</si>
  <si>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</si>
  <si>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</si>
  <si>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</si>
  <si>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</si>
  <si>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</si>
  <si>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</si>
  <si>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</si>
  <si>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</si>
  <si>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</si>
  <si>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</si>
  <si>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</si>
  <si>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</si>
  <si>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</si>
  <si>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</si>
  <si>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</si>
  <si>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</si>
  <si>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</si>
  <si>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</si>
  <si>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</si>
  <si>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</si>
  <si>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</si>
  <si>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</si>
  <si>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</si>
  <si>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</si>
  <si>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</si>
  <si>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</si>
  <si>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</si>
  <si>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</si>
  <si>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</si>
  <si>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</si>
  <si>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</si>
  <si>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</si>
  <si>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</si>
  <si>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</si>
  <si>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</si>
  <si>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</si>
  <si>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</si>
  <si>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</si>
  <si>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</si>
  <si>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</si>
  <si>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</si>
  <si>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</si>
  <si>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</si>
  <si>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</si>
  <si>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</si>
  <si>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</si>
  <si>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</si>
  <si>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</si>
  <si>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</si>
  <si>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</si>
  <si>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</si>
  <si>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</si>
  <si>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</si>
  <si>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</si>
  <si>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</si>
  <si>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</si>
  <si>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</si>
  <si>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</si>
  <si>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</si>
  <si>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</si>
  <si>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</si>
  <si>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</si>
  <si>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</si>
  <si>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</si>
  <si>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</si>
  <si>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</si>
  <si>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</si>
  <si>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</si>
  <si>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</si>
  <si>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</si>
  <si>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</si>
  <si>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</si>
  <si>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</si>
  <si>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</si>
  <si>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</si>
  <si>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</si>
  <si>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</si>
  <si>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</si>
  <si>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</si>
  <si>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</si>
  <si>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</si>
  <si>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</si>
  <si>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</si>
  <si>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</si>
  <si>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</si>
  <si>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</si>
  <si>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</si>
  <si>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</si>
  <si>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</si>
  <si>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</si>
  <si>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</si>
  <si>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</si>
  <si>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</si>
  <si>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</si>
  <si>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</si>
  <si>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</si>
  <si>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</si>
  <si>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</si>
  <si>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</si>
  <si>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</si>
  <si>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</si>
  <si>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</si>
  <si>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</si>
  <si>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</si>
  <si>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</si>
  <si>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</si>
  <si>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</si>
  <si>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</si>
  <si>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</si>
  <si>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</si>
  <si>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</si>
  <si>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</si>
  <si>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</si>
  <si>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</si>
  <si>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</si>
  <si>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</si>
  <si>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</si>
  <si>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</si>
  <si>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</si>
  <si>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</si>
  <si>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</si>
  <si>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</si>
  <si>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</si>
  <si>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</si>
  <si>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</si>
  <si>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</si>
  <si>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</si>
  <si>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</si>
  <si>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</si>
  <si>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</si>
  <si>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</si>
  <si>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</si>
  <si>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</si>
  <si>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</si>
  <si>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</si>
  <si>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</si>
  <si>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</si>
  <si>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</si>
  <si>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</si>
  <si>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</si>
  <si>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</si>
  <si>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</si>
  <si>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</si>
  <si>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</si>
  <si>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</si>
  <si>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</si>
  <si>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</si>
  <si>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</si>
  <si>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</si>
  <si>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</si>
  <si>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</si>
  <si>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</si>
  <si>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</si>
  <si>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</si>
  <si>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</si>
  <si>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</si>
  <si>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</si>
  <si>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</si>
  <si>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</si>
  <si>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</si>
  <si>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</si>
  <si>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</si>
  <si>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</si>
  <si>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</si>
  <si>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</si>
  <si>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</si>
  <si>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</si>
  <si>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</si>
  <si>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</si>
  <si>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</si>
  <si>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</si>
  <si>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</si>
  <si>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</si>
  <si>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</si>
  <si>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</si>
  <si>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</si>
  <si>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</si>
  <si>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</si>
  <si>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</si>
  <si>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</si>
  <si>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</si>
  <si>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</si>
  <si>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</si>
  <si>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</si>
  <si>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</si>
  <si>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</si>
  <si>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</si>
  <si>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</si>
  <si>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</si>
  <si>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</si>
  <si>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</si>
  <si>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</si>
  <si>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</si>
  <si>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</si>
  <si>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</si>
  <si>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</si>
  <si>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</si>
  <si>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</si>
  <si>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</si>
  <si>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</si>
  <si>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</si>
  <si>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</si>
  <si>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</si>
  <si>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</si>
  <si>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</si>
  <si>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</si>
  <si>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</si>
  <si>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</si>
  <si>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</si>
  <si>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</si>
  <si>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</si>
  <si>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</si>
  <si>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</si>
  <si>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</si>
  <si>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</si>
  <si>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</si>
  <si>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</si>
  <si>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</si>
  <si>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</si>
  <si>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</si>
  <si>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</si>
  <si>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</si>
  <si>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</si>
  <si>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</si>
  <si>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</si>
  <si>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</si>
  <si>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</si>
  <si>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</si>
  <si>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</si>
  <si>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</si>
  <si>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</si>
  <si>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</si>
  <si>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</si>
  <si>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</si>
  <si>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</si>
  <si>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</si>
  <si>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</si>
  <si>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</si>
  <si>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</si>
  <si>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</si>
  <si>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</si>
  <si>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</si>
  <si>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</si>
  <si>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</si>
  <si>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</si>
  <si>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</si>
  <si>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</si>
  <si>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</si>
  <si>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</si>
  <si>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</si>
  <si>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</si>
  <si>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</si>
  <si>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</si>
  <si>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</si>
  <si>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</si>
  <si>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</si>
  <si>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</si>
  <si>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</si>
  <si>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</si>
  <si>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</si>
  <si>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</si>
  <si>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</si>
  <si>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</si>
  <si>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</si>
  <si>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</si>
  <si>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</si>
  <si>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</si>
  <si>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</si>
  <si>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</si>
  <si>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</si>
  <si>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</si>
  <si>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</si>
  <si>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</si>
  <si>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</si>
  <si>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</si>
  <si>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</si>
  <si>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</si>
  <si>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</si>
  <si>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</si>
  <si>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</si>
  <si>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</si>
  <si>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</si>
  <si>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</si>
  <si>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</si>
  <si>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</si>
  <si>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</si>
  <si>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</si>
  <si>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</si>
  <si>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</si>
  <si>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</si>
  <si>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</si>
  <si>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</si>
  <si>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</si>
  <si>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</si>
  <si>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</si>
  <si>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</si>
  <si>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</si>
  <si>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</si>
  <si>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</si>
  <si>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</si>
  <si>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</si>
  <si>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</si>
  <si>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</si>
  <si>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</si>
  <si>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</si>
  <si>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</si>
  <si>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</si>
  <si>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</si>
  <si>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</si>
  <si>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</si>
  <si>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</si>
  <si>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</si>
  <si>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</si>
  <si>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</si>
  <si>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</si>
  <si>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</si>
  <si>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</si>
  <si>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</si>
  <si>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</si>
  <si>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</si>
  <si>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</si>
  <si>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</si>
  <si>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</si>
  <si>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</si>
  <si>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</si>
  <si>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</si>
  <si>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</si>
  <si>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</si>
  <si>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</si>
  <si>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</si>
  <si>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</si>
  <si>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</si>
  <si>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</si>
  <si>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</si>
  <si>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</si>
  <si>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</si>
  <si>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</si>
  <si>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</si>
  <si>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</si>
  <si>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</si>
  <si>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</si>
  <si>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</si>
  <si>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</si>
  <si>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</si>
  <si>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</si>
  <si>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</si>
  <si>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</si>
  <si>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</si>
  <si>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</si>
  <si>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</si>
  <si>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</si>
  <si>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</si>
  <si>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</si>
  <si>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</si>
  <si>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</si>
  <si>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</si>
  <si>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</si>
  <si>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</si>
  <si>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</si>
  <si>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</si>
  <si>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</si>
  <si>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</si>
  <si>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</si>
  <si>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</si>
  <si>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</si>
  <si>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</si>
  <si>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</si>
  <si>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</si>
  <si>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</si>
  <si>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</si>
  <si>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</si>
  <si>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</si>
  <si>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</si>
  <si>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</si>
  <si>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</si>
  <si>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</si>
  <si>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</si>
  <si>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</si>
  <si>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</si>
  <si>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</si>
  <si>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</si>
  <si>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</si>
  <si>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</si>
  <si>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</si>
  <si>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</si>
  <si>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</si>
  <si>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</si>
  <si>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</si>
  <si>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</si>
  <si>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</si>
  <si>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</si>
  <si>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</si>
  <si>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</si>
  <si>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</si>
  <si>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</si>
  <si>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</si>
  <si>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</si>
  <si>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</si>
  <si>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</si>
  <si>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</si>
  <si>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</si>
  <si>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</si>
  <si>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</si>
  <si>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</si>
  <si>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</si>
  <si>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</si>
  <si>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</si>
  <si>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</si>
  <si>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</si>
  <si>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</si>
  <si>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</si>
  <si>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</si>
  <si>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</si>
  <si>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</si>
  <si>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</si>
  <si>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</si>
  <si>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</si>
  <si>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</si>
  <si>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</si>
  <si>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</si>
  <si>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</si>
  <si>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</si>
  <si>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</si>
  <si>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</si>
  <si>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</si>
  <si>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</si>
  <si>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</si>
  <si>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</si>
  <si>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</si>
  <si>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</si>
  <si>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</si>
  <si>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</si>
  <si>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</si>
  <si>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</si>
  <si>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</si>
  <si>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</si>
  <si>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</si>
  <si>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</si>
  <si>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</si>
  <si>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</si>
  <si>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</si>
  <si>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</si>
  <si>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</si>
  <si>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</si>
  <si>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</si>
  <si>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</si>
  <si>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</si>
  <si>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</si>
  <si>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</si>
  <si>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</si>
  <si>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</si>
  <si>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</si>
  <si>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</si>
  <si>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</si>
  <si>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</si>
  <si>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</si>
  <si>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</si>
  <si>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</si>
  <si>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</si>
  <si>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</si>
  <si>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</si>
  <si>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</si>
  <si>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</si>
  <si>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</si>
  <si>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</si>
  <si>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</si>
  <si>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</si>
  <si>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</si>
  <si>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</si>
  <si>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</si>
  <si>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</si>
  <si>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</si>
  <si>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</si>
  <si>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</si>
  <si>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</si>
  <si>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</si>
  <si>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</si>
  <si>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</si>
  <si>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</si>
  <si>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</si>
  <si>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</si>
  <si>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</si>
  <si>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</si>
  <si>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</si>
  <si>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</si>
  <si>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</si>
  <si>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</si>
  <si>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</si>
  <si>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</si>
  <si>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</si>
  <si>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</si>
  <si>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</si>
  <si>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</si>
  <si>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</si>
  <si>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</si>
  <si>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</si>
  <si>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</si>
  <si>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</si>
  <si>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</si>
  <si>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</si>
  <si>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</si>
  <si>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</si>
  <si>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</si>
  <si>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</si>
  <si>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</si>
  <si>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</si>
  <si>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</si>
  <si>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</si>
  <si>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</si>
  <si>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</si>
  <si>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</si>
  <si>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</si>
  <si>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</si>
  <si>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</si>
  <si>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</si>
  <si>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</si>
  <si>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</si>
  <si>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</si>
  <si>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</si>
  <si>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</si>
  <si>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</si>
  <si>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</si>
  <si>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</si>
  <si>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</si>
  <si>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</si>
  <si>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</si>
  <si>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</si>
  <si>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</si>
  <si>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</si>
  <si>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</si>
  <si>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</si>
  <si>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</si>
  <si>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</si>
  <si>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</si>
  <si>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</si>
  <si>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</si>
  <si>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</si>
  <si>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</si>
  <si>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</si>
  <si>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</si>
  <si>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</si>
  <si>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</si>
  <si>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</si>
  <si>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</si>
  <si>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</si>
  <si>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</si>
  <si>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</si>
  <si>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</si>
  <si>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</si>
  <si>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</si>
  <si>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</si>
  <si>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</si>
  <si>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</si>
  <si>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</si>
  <si>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</si>
  <si>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</si>
  <si>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</si>
  <si>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</si>
  <si>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</si>
  <si>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</si>
  <si>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</si>
  <si>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</si>
  <si>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</si>
  <si>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</si>
  <si>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</si>
  <si>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</si>
  <si>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</si>
  <si>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</si>
  <si>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</si>
  <si>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</si>
  <si>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</si>
  <si>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</si>
  <si>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</si>
  <si>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</si>
  <si>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</si>
  <si>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</si>
  <si>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</si>
  <si>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</si>
  <si>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</si>
  <si>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</si>
  <si>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</si>
  <si>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</si>
  <si>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</si>
  <si>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</si>
  <si>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</si>
  <si>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</si>
  <si>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</si>
  <si>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</si>
  <si>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</si>
  <si>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</si>
  <si>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</si>
  <si>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</si>
  <si>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</si>
  <si>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</si>
  <si>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</si>
  <si>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</si>
  <si>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</si>
  <si>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</si>
  <si>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</si>
  <si>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</si>
  <si>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</si>
  <si>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</si>
  <si>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</si>
  <si>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</si>
  <si>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</si>
  <si>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</si>
  <si>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</si>
  <si>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</si>
  <si>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</si>
  <si>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</si>
  <si>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</si>
  <si>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</si>
  <si>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</si>
  <si>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</si>
  <si>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</si>
  <si>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</si>
  <si>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</si>
  <si>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</si>
  <si>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</si>
  <si>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</si>
  <si>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</si>
  <si>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</si>
  <si>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</si>
  <si>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</si>
  <si>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</si>
  <si>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</si>
  <si>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</si>
  <si>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</si>
  <si>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</si>
  <si>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</si>
  <si>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</si>
  <si>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</si>
  <si>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</si>
  <si>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</si>
  <si>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</si>
  <si>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</si>
  <si>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</si>
  <si>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</si>
  <si>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</si>
  <si>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</si>
  <si>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</si>
  <si>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</si>
  <si>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</si>
  <si>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</si>
  <si>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</si>
  <si>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</si>
  <si>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</si>
  <si>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</si>
  <si>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</si>
  <si>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</si>
  <si>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</si>
  <si>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</si>
  <si>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</si>
  <si>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</si>
  <si>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</si>
  <si>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</si>
  <si>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</si>
  <si>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</si>
  <si>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</si>
  <si>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</si>
  <si>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</si>
  <si>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</si>
  <si>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</si>
  <si>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</si>
  <si>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</si>
  <si>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</si>
  <si>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</si>
  <si>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</si>
  <si>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</si>
  <si>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</si>
  <si>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</si>
  <si>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</si>
  <si>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</si>
  <si>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</si>
  <si>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</si>
  <si>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</si>
  <si>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</si>
  <si>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</si>
  <si>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</si>
  <si>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</si>
  <si>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</si>
  <si>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</si>
  <si>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</si>
  <si>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</si>
  <si>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</si>
  <si>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</si>
  <si>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</si>
  <si>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</si>
  <si>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</si>
  <si>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</si>
  <si>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</si>
  <si>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</si>
  <si>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</si>
  <si>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</si>
  <si>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</si>
  <si>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</si>
  <si>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</si>
  <si>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</si>
  <si>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</si>
  <si>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</si>
  <si>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</si>
  <si>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</si>
  <si>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</si>
  <si>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</si>
  <si>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</si>
  <si>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</si>
  <si>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</si>
  <si>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</si>
  <si>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</si>
  <si>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</si>
  <si>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</si>
  <si>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</si>
  <si>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</si>
  <si>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</si>
  <si>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</si>
  <si>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</si>
  <si>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</si>
  <si>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</si>
  <si>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</si>
  <si>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</si>
  <si>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</si>
  <si>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</si>
  <si>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</si>
  <si>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</si>
  <si>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</si>
  <si>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</si>
  <si>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</si>
  <si>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</si>
  <si>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</si>
  <si>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</si>
  <si>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</si>
  <si>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</si>
  <si>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</si>
  <si>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</si>
  <si>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</si>
  <si>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</si>
  <si>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</si>
  <si>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</si>
  <si>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</si>
  <si>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</si>
  <si>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</si>
  <si>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</si>
  <si>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</si>
  <si>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</si>
  <si>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</si>
  <si>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</si>
  <si>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</si>
  <si>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</si>
  <si>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</si>
  <si>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</si>
  <si>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</si>
  <si>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</si>
  <si>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</si>
  <si>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</si>
  <si>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</si>
  <si>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</si>
  <si>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</si>
  <si>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</si>
  <si>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</si>
  <si>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</si>
  <si>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</si>
  <si>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</si>
  <si>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</si>
  <si>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</si>
  <si>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</si>
  <si>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</si>
  <si>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</si>
  <si>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</si>
  <si>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</si>
  <si>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</si>
  <si>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</si>
  <si>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</si>
  <si>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</si>
  <si>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</si>
  <si>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</si>
  <si>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</si>
  <si>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</si>
  <si>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</si>
  <si>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</si>
  <si>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</si>
  <si>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</si>
  <si>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</si>
  <si>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</si>
  <si>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</si>
  <si>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</si>
  <si>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</si>
  <si>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</si>
  <si>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</si>
  <si>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</si>
  <si>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</si>
  <si>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</si>
  <si>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</si>
  <si>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</si>
  <si>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</si>
  <si>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</si>
  <si>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</si>
  <si>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</si>
  <si>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</si>
  <si>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</si>
  <si>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</si>
  <si>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</si>
  <si>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</si>
  <si>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</si>
  <si>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</si>
  <si>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</si>
  <si>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</si>
  <si>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</si>
  <si>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</si>
  <si>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</si>
  <si>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</si>
  <si>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</si>
  <si>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</si>
  <si>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</si>
  <si>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</si>
  <si>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</si>
  <si>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</si>
  <si>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</si>
  <si>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</si>
  <si>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</si>
  <si>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</si>
  <si>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</si>
  <si>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</si>
  <si>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</si>
  <si>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</si>
  <si>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</si>
  <si>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</si>
  <si>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</si>
  <si>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</si>
  <si>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</si>
  <si>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</si>
  <si>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</si>
  <si>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</si>
  <si>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</si>
  <si>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</si>
  <si>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</si>
  <si>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</si>
  <si>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</si>
  <si>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</si>
  <si>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</si>
  <si>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</si>
  <si>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</si>
  <si>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</si>
  <si>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</si>
  <si>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</si>
  <si>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</si>
  <si>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</si>
  <si>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</si>
  <si>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</si>
  <si>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</si>
  <si>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</si>
  <si>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</si>
  <si>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</si>
  <si>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</si>
  <si>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</si>
  <si>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</si>
  <si>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</si>
  <si>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</si>
  <si>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</si>
  <si>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</si>
  <si>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</si>
  <si>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</si>
  <si>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</si>
  <si>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</si>
  <si>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</si>
  <si>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</si>
  <si>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</si>
  <si>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</si>
  <si>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</si>
  <si>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</si>
  <si>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</si>
  <si>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</si>
  <si>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</si>
  <si>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</si>
  <si>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</si>
  <si>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</si>
  <si>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</si>
  <si>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</si>
  <si>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</si>
  <si>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</si>
  <si>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</si>
  <si>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</si>
  <si>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</si>
  <si>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</si>
  <si>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</si>
  <si>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</si>
  <si>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</si>
  <si>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</si>
  <si>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</si>
  <si>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</si>
  <si>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</si>
  <si>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</si>
  <si>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</si>
  <si>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</si>
  <si>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</si>
  <si>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</si>
  <si>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</si>
  <si>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</si>
  <si>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</si>
  <si>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</si>
  <si>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</si>
  <si>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</si>
  <si>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</si>
  <si>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</si>
  <si>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</si>
  <si>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</si>
  <si>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</si>
  <si>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</si>
  <si>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</si>
  <si>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</si>
  <si>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</si>
  <si>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</si>
  <si>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</si>
  <si>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</si>
  <si>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</si>
  <si>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</si>
  <si>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</si>
  <si>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</si>
  <si>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</si>
  <si>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</si>
  <si>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</si>
  <si>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</si>
  <si>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</si>
  <si>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</si>
  <si>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</si>
  <si>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</si>
  <si>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</si>
  <si>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</si>
  <si>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</si>
  <si>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</si>
  <si>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</si>
  <si>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</si>
  <si>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</si>
  <si>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</si>
  <si>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</si>
  <si>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</si>
  <si>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</si>
  <si>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</si>
  <si>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</si>
  <si>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</si>
  <si>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</si>
  <si>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</si>
  <si>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</si>
  <si>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</si>
  <si>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</si>
  <si>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</si>
  <si>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</si>
  <si>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</si>
  <si>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</si>
  <si>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</si>
  <si>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</si>
  <si>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</si>
  <si>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</si>
  <si>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</si>
  <si>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</si>
  <si>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</si>
  <si>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</si>
  <si>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</si>
  <si>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</si>
  <si>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</si>
  <si>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</si>
  <si>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</si>
  <si>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</si>
  <si>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</si>
  <si>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</si>
  <si>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</si>
  <si>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</si>
  <si>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</si>
  <si>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</si>
  <si>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</si>
  <si>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</si>
  <si>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</si>
  <si>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</si>
  <si>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</si>
  <si>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</si>
  <si>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</si>
  <si>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</si>
  <si>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</si>
  <si>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</si>
  <si>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</si>
  <si>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</si>
  <si>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</si>
  <si>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</si>
  <si>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</si>
  <si>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</si>
  <si>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</si>
  <si>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</si>
  <si>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</si>
  <si>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</si>
  <si>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</si>
  <si>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</si>
  <si>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</si>
  <si>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</si>
  <si>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</si>
  <si>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</si>
  <si>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</si>
  <si>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</si>
  <si>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</si>
  <si>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</si>
  <si>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</si>
  <si>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</si>
  <si>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</si>
  <si>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</si>
  <si>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</si>
  <si>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</si>
  <si>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</si>
  <si>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</si>
  <si>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</si>
  <si>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</si>
  <si>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</si>
  <si>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</si>
  <si>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</si>
  <si>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</si>
  <si>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</si>
  <si>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</si>
  <si>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</si>
  <si>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</si>
  <si>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</si>
  <si>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</si>
  <si>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</si>
  <si>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</si>
  <si>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</si>
  <si>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</si>
  <si>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</si>
  <si>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</si>
  <si>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</si>
  <si>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</si>
  <si>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</si>
  <si>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</si>
  <si>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</si>
  <si>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</si>
  <si>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</si>
  <si>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</si>
  <si>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</si>
  <si>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</si>
  <si>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</si>
  <si>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</si>
  <si>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</si>
  <si>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</si>
  <si>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</si>
  <si>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</si>
  <si>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</si>
  <si>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</si>
  <si>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</si>
  <si>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</si>
  <si>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</si>
  <si>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</si>
  <si>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</si>
  <si>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</si>
  <si>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</si>
  <si>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</si>
  <si>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</si>
  <si>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</si>
  <si>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</si>
  <si>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</si>
  <si>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</si>
  <si>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</si>
  <si>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</si>
  <si>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</si>
  <si>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</si>
  <si>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</si>
  <si>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</si>
  <si>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</si>
  <si>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</si>
  <si>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</si>
  <si>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</si>
  <si>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</si>
  <si>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</si>
  <si>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</si>
  <si>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</si>
  <si>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</si>
  <si>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</si>
  <si>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</si>
  <si>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</si>
  <si>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</si>
  <si>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</si>
  <si>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</si>
  <si>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</si>
  <si>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</si>
  <si>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</si>
  <si>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</si>
  <si>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</si>
  <si>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</si>
  <si>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</si>
  <si>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</si>
  <si>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</si>
  <si>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</si>
  <si>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</si>
  <si>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</si>
  <si>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</si>
  <si>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</si>
  <si>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</si>
  <si>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</si>
  <si>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</si>
  <si>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</si>
  <si>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</si>
  <si>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</si>
  <si>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</si>
  <si>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</si>
  <si>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</si>
  <si>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</si>
  <si>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</si>
  <si>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</si>
  <si>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</si>
  <si>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</si>
  <si>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</si>
  <si>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</si>
  <si>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</si>
  <si>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</si>
  <si>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</si>
  <si>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</si>
  <si>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</si>
  <si>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</si>
  <si>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</si>
  <si>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</si>
  <si>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</si>
  <si>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</si>
  <si>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</si>
  <si>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</si>
  <si>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</si>
  <si>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</si>
  <si>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</si>
  <si>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</si>
  <si>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</si>
  <si>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</si>
  <si>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</si>
  <si>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</si>
  <si>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</si>
  <si>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</si>
  <si>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</si>
  <si>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</si>
  <si>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</si>
  <si>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</si>
  <si>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</si>
  <si>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</si>
  <si>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</si>
  <si>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</si>
  <si>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</si>
  <si>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</si>
  <si>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</si>
  <si>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</si>
  <si>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</si>
  <si>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</si>
  <si>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</si>
  <si>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</si>
  <si>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</si>
  <si>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</si>
  <si>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</si>
  <si>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</si>
  <si>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</si>
  <si>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</si>
  <si>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</si>
  <si>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</si>
  <si>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</si>
  <si>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</si>
  <si>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</si>
  <si>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</si>
  <si>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</si>
  <si>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</si>
  <si>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</si>
  <si>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</si>
  <si>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</si>
  <si>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</si>
  <si>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</si>
  <si>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</si>
  <si>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</si>
  <si>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</si>
  <si>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</si>
  <si>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</si>
  <si>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</si>
  <si>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</si>
  <si>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</si>
  <si>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</si>
  <si>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</si>
  <si>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</si>
  <si>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</si>
  <si>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</si>
  <si>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</si>
  <si>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</si>
  <si>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</si>
  <si>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</si>
  <si>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</si>
  <si>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</si>
  <si>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</si>
  <si>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</si>
  <si>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</si>
  <si>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</si>
  <si>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</si>
  <si>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</si>
  <si>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</si>
  <si>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</si>
  <si>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</si>
  <si>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</si>
  <si>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</si>
  <si>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</si>
  <si>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</si>
  <si>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</si>
  <si>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</si>
  <si>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</si>
  <si>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</si>
  <si>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</si>
  <si>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</si>
  <si>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</si>
  <si>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</si>
  <si>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</si>
  <si>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</si>
  <si>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</si>
  <si>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</si>
  <si>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</si>
  <si>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</si>
  <si>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</si>
  <si>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</si>
  <si>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</si>
  <si>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</si>
  <si>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</si>
  <si>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</si>
  <si>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</si>
  <si>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</si>
  <si>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</si>
  <si>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</si>
  <si>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</si>
  <si>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</si>
  <si>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</si>
  <si>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</si>
  <si>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</si>
  <si>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</si>
  <si>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</si>
  <si>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</si>
  <si>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</si>
  <si>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</si>
  <si>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</si>
  <si>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</si>
  <si>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</si>
  <si>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</si>
  <si>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</si>
  <si>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</si>
  <si>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</si>
  <si>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</si>
  <si>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</si>
  <si>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</si>
  <si>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</si>
  <si>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</si>
  <si>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</si>
  <si>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</si>
  <si>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</si>
  <si>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</si>
  <si>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</si>
  <si>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</si>
  <si>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</si>
  <si>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</si>
  <si>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</si>
  <si>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</si>
  <si>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</si>
  <si>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</si>
  <si>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</si>
  <si>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</si>
  <si>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</si>
  <si>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</si>
  <si>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</si>
  <si>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</si>
  <si>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</si>
  <si>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</si>
  <si>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</si>
  <si>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</si>
  <si>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</si>
  <si>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</si>
  <si>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</si>
  <si>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</si>
  <si>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</si>
  <si>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</si>
  <si>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</si>
  <si>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</si>
  <si>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</si>
  <si>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</si>
  <si>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</si>
  <si>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</si>
  <si>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</si>
  <si>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</si>
  <si>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</si>
  <si>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</si>
  <si>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</si>
  <si>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</si>
  <si>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</si>
  <si>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</si>
  <si>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</si>
  <si>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</si>
  <si>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</si>
  <si>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</si>
  <si>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</si>
  <si>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</si>
  <si>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</si>
  <si>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</si>
  <si>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</si>
  <si>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</si>
  <si>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</si>
  <si>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</si>
  <si>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</si>
  <si>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</si>
  <si>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</si>
  <si>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</si>
  <si>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</si>
  <si>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</si>
  <si>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</si>
  <si>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</si>
  <si>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</si>
  <si>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</si>
  <si>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</si>
  <si>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</si>
  <si>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</si>
  <si>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</si>
  <si>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</si>
  <si>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</si>
  <si>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</si>
  <si>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</si>
  <si>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</si>
  <si>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</si>
  <si>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</si>
  <si>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</si>
  <si>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</si>
  <si>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</si>
  <si>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</si>
  <si>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</si>
  <si>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</si>
  <si>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</si>
  <si>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</si>
  <si>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</si>
  <si>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</si>
  <si>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</si>
  <si>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</si>
  <si>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</si>
  <si>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</si>
  <si>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</si>
  <si>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</si>
  <si>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</si>
  <si>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</si>
  <si>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</si>
  <si>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</si>
  <si>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</si>
  <si>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</si>
  <si>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</si>
  <si>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</si>
  <si>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</si>
  <si>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</si>
  <si>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</si>
  <si>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</si>
  <si>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</si>
  <si>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</si>
  <si>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</si>
  <si>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</si>
  <si>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</si>
  <si>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</si>
  <si>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</si>
  <si>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</si>
  <si>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</si>
  <si>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</si>
  <si>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</si>
  <si>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</si>
  <si>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</si>
  <si>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</si>
  <si>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</si>
  <si>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</si>
  <si>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</si>
  <si>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</si>
  <si>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</si>
  <si>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</si>
  <si>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</si>
  <si>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</si>
  <si>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</si>
  <si>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</si>
  <si>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</si>
  <si>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</si>
  <si>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</si>
  <si>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</si>
  <si>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</si>
  <si>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</si>
  <si>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</si>
  <si>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</si>
  <si>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</si>
  <si>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</si>
  <si>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</si>
  <si>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</si>
  <si>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</si>
  <si>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</si>
  <si>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</si>
  <si>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</si>
  <si>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</si>
  <si>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</si>
  <si>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</si>
  <si>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</si>
  <si>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</si>
  <si>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</si>
  <si>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</si>
  <si>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</si>
  <si>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</si>
  <si>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</si>
  <si>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</si>
  <si>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</si>
  <si>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</si>
  <si>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</si>
  <si>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</si>
  <si>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</si>
  <si>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</si>
  <si>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</si>
  <si>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</si>
  <si>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</si>
  <si>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</si>
  <si>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</si>
  <si>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</si>
  <si>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</si>
  <si>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</si>
  <si>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</si>
  <si>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</si>
  <si>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</si>
  <si>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</si>
  <si>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</si>
  <si>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</si>
  <si>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</si>
  <si>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</si>
  <si>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</si>
  <si>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</si>
  <si>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</si>
  <si>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</si>
  <si>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</si>
  <si>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</si>
  <si>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</si>
  <si>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</si>
  <si>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</si>
  <si>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</si>
  <si>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</si>
  <si>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</si>
  <si>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</si>
  <si>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</si>
  <si>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</si>
  <si>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</si>
  <si>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</si>
  <si>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</si>
  <si>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</si>
  <si>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</si>
  <si>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</si>
  <si>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</si>
  <si>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</si>
  <si>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</si>
  <si>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</si>
  <si>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</si>
  <si>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</si>
  <si>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</si>
  <si>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</si>
  <si>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</si>
  <si>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</si>
  <si>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</si>
  <si>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</si>
  <si>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</si>
  <si>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</si>
  <si>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</si>
  <si>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</si>
  <si>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</si>
  <si>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</si>
  <si>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</si>
  <si>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</si>
  <si>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</si>
  <si>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</si>
  <si>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</si>
  <si>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</si>
  <si>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</si>
  <si>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</si>
  <si>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</si>
  <si>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</si>
  <si>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</si>
  <si>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</si>
  <si>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</si>
  <si>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</si>
  <si>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</si>
  <si>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</si>
  <si>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</si>
  <si>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</si>
  <si>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</si>
  <si>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</si>
  <si>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</si>
  <si>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</si>
  <si>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</si>
  <si>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</si>
  <si>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</si>
  <si>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</si>
  <si>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</si>
  <si>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</si>
  <si>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</si>
  <si>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</si>
  <si>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</si>
  <si>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</si>
  <si>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</si>
  <si>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</si>
  <si>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</si>
  <si>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</si>
  <si>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</si>
  <si>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</si>
  <si>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</si>
  <si>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</si>
  <si>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</si>
  <si>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</si>
  <si>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</si>
  <si>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</si>
  <si>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</si>
  <si>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</si>
  <si>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</si>
  <si>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</si>
  <si>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</si>
  <si>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</si>
  <si>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</si>
  <si>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</si>
  <si>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</si>
  <si>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</si>
  <si>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</si>
  <si>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</si>
  <si>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</si>
  <si>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</si>
  <si>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</si>
  <si>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</si>
  <si>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</si>
  <si>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</si>
  <si>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</si>
  <si>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</si>
  <si>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</si>
  <si>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</si>
  <si>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</si>
  <si>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</si>
  <si>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</si>
  <si>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</si>
  <si>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</si>
  <si>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</si>
  <si>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</si>
  <si>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</si>
  <si>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</si>
  <si>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</si>
  <si>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</si>
  <si>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</si>
  <si>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</si>
  <si>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</si>
  <si>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</si>
  <si>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</si>
  <si>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</si>
  <si>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</si>
  <si>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</si>
  <si>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</si>
  <si>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</si>
  <si>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</si>
  <si>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</si>
  <si>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</si>
  <si>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</si>
  <si>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</si>
  <si>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</si>
  <si>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</si>
  <si>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</si>
  <si>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</si>
  <si>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</si>
  <si>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</si>
  <si>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</si>
  <si>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</si>
  <si>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</si>
  <si>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</si>
  <si>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</si>
  <si>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</si>
  <si>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</si>
  <si>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</si>
  <si>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</si>
  <si>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</si>
  <si>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</si>
  <si>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</si>
  <si>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</si>
  <si>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</si>
  <si>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</si>
  <si>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</si>
  <si>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</si>
  <si>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</si>
  <si>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</si>
  <si>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</si>
  <si>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</si>
  <si>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</si>
  <si>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</si>
  <si>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</si>
  <si>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</si>
  <si>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</si>
  <si>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</si>
  <si>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</si>
  <si>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</si>
  <si>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</si>
  <si>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</si>
  <si>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</si>
  <si>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</si>
  <si>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</si>
  <si>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</si>
  <si>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</si>
  <si>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</si>
  <si>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</si>
  <si>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</si>
  <si>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</si>
  <si>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</si>
  <si>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</si>
  <si>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</si>
  <si>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</si>
  <si>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</si>
  <si>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</si>
  <si>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</si>
  <si>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</si>
  <si>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</si>
  <si>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</si>
  <si>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</si>
  <si>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</si>
  <si>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</si>
  <si>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</si>
  <si>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</si>
  <si>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</si>
  <si>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</si>
  <si>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</si>
  <si>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</si>
  <si>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</si>
  <si>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</si>
  <si>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</si>
  <si>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</si>
  <si>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</si>
  <si>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</si>
  <si>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</si>
  <si>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</si>
  <si>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</si>
  <si>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</si>
  <si>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</si>
  <si>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</si>
  <si>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</si>
  <si>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</si>
  <si>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</si>
  <si>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</si>
  <si>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</si>
  <si>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</si>
  <si>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</si>
  <si>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</si>
  <si>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</si>
  <si>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</si>
  <si>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</si>
  <si>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</si>
  <si>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</si>
  <si>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</si>
  <si>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</si>
  <si>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</si>
  <si>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</si>
  <si>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</si>
  <si>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</si>
  <si>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</si>
  <si>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</si>
  <si>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</si>
  <si>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</si>
  <si>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</si>
  <si>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</si>
  <si>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</si>
  <si>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</si>
  <si>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</si>
  <si>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</si>
  <si>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</si>
  <si>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</si>
  <si>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</si>
  <si>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</si>
  <si>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</si>
  <si>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</si>
  <si>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</si>
  <si>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</si>
  <si>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</si>
  <si>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</si>
  <si>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</si>
  <si>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</si>
  <si>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</si>
  <si>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</si>
  <si>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</si>
  <si>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</si>
  <si>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</si>
  <si>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</si>
  <si>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</si>
  <si>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</si>
  <si>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</si>
  <si>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</si>
  <si>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</si>
  <si>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</si>
  <si>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</si>
  <si>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</si>
  <si>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</si>
  <si>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</si>
  <si>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</si>
  <si>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</si>
  <si>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</si>
  <si>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</si>
  <si>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</si>
  <si>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</si>
  <si>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</si>
  <si>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</si>
  <si>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</si>
  <si>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</si>
  <si>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</si>
  <si>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</si>
  <si>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</si>
  <si>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</si>
  <si>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</si>
  <si>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</si>
  <si>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</si>
  <si>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</si>
  <si>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</si>
  <si>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</si>
  <si>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</si>
  <si>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</si>
  <si>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</si>
  <si>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</si>
  <si>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</si>
  <si>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</si>
  <si>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</si>
  <si>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</si>
  <si>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</si>
  <si>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</si>
  <si>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</si>
  <si>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</si>
  <si>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</si>
  <si>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</si>
  <si>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</si>
  <si>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</si>
  <si>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</si>
  <si>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</si>
  <si>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</si>
  <si>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</si>
  <si>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</si>
  <si>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</si>
  <si>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</si>
  <si>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</si>
  <si>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</si>
  <si>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</si>
  <si>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</si>
  <si>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</si>
  <si>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</si>
  <si>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</si>
  <si>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</si>
  <si>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</si>
  <si>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</si>
  <si>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</si>
  <si>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</si>
  <si>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</si>
  <si>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</si>
  <si>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</si>
  <si>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</si>
  <si>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</si>
  <si>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</si>
  <si>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</si>
  <si>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</si>
  <si>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</si>
  <si>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</si>
  <si>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</si>
  <si>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</si>
  <si>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</si>
  <si>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</si>
  <si>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</si>
  <si>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</si>
  <si>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</si>
  <si>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</si>
  <si>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</si>
  <si>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</si>
  <si>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</si>
  <si>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</si>
  <si>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</si>
  <si>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</si>
  <si>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</si>
  <si>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</si>
  <si>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</si>
  <si>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</si>
  <si>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</si>
  <si>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</si>
  <si>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</si>
  <si>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</si>
  <si>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</si>
  <si>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</si>
  <si>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</si>
  <si>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</si>
  <si>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</si>
  <si>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</si>
  <si>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</si>
  <si>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</si>
  <si>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</si>
  <si>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</si>
  <si>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</si>
  <si>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</si>
  <si>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</si>
  <si>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</si>
  <si>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</si>
  <si>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</si>
  <si>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</si>
  <si>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</si>
  <si>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</si>
  <si>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</si>
  <si>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</si>
  <si>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</si>
  <si>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</si>
  <si>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</si>
  <si>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</si>
  <si>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</si>
  <si>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</si>
  <si>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</si>
  <si>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</si>
  <si>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</si>
  <si>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</si>
  <si>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</si>
  <si>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</si>
  <si>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</si>
  <si>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</si>
  <si>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</si>
  <si>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</si>
  <si>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</si>
  <si>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</si>
  <si>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</si>
  <si>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</si>
  <si>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</si>
  <si>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</si>
  <si>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</si>
  <si>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</si>
  <si>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</si>
  <si>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</si>
  <si>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</si>
  <si>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</si>
  <si>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</si>
  <si>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</si>
  <si>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</si>
  <si>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</si>
  <si>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</si>
  <si>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</si>
  <si>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</si>
  <si>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</si>
  <si>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</si>
  <si>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</si>
  <si>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</si>
  <si>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</si>
  <si>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</si>
  <si>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</si>
  <si>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</si>
  <si>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</si>
  <si>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</si>
  <si>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</si>
  <si>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</si>
  <si>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</si>
  <si>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</si>
  <si>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</si>
  <si>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</si>
  <si>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</si>
  <si>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</si>
  <si>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</si>
  <si>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</si>
  <si>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</si>
  <si>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</si>
  <si>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</si>
  <si>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</si>
  <si>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</si>
  <si>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</si>
  <si>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</si>
  <si>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</si>
  <si>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</si>
  <si>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</si>
  <si>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</si>
  <si>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</si>
  <si>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</si>
  <si>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</si>
  <si>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</si>
  <si>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</si>
  <si>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</si>
  <si>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</si>
  <si>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</si>
  <si>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</si>
  <si>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</si>
  <si>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</si>
  <si>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</si>
  <si>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</si>
  <si>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</si>
  <si>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</si>
  <si>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</si>
  <si>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</si>
  <si>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</si>
  <si>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</si>
  <si>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</si>
  <si>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</si>
  <si>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</si>
  <si>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</si>
  <si>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</si>
  <si>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</si>
  <si>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</si>
  <si>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</si>
  <si>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</si>
  <si>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</si>
  <si>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</si>
  <si>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</si>
  <si>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</si>
  <si>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</si>
  <si>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</si>
  <si>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</si>
  <si>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</si>
  <si>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</si>
  <si>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</si>
  <si>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</si>
  <si>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</si>
  <si>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</si>
  <si>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</si>
  <si>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</si>
  <si>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</si>
  <si>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</si>
  <si>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</si>
  <si>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</si>
  <si>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</si>
  <si>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</si>
  <si>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</si>
  <si>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</si>
  <si>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</si>
  <si>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</si>
  <si>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</si>
  <si>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</si>
  <si>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</si>
  <si>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</si>
  <si>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</si>
  <si>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</si>
  <si>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</si>
  <si>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</si>
  <si>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</si>
  <si>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</si>
  <si>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</si>
  <si>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</si>
  <si>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</si>
  <si>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</si>
  <si>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</si>
  <si>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</si>
  <si>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</si>
  <si>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</si>
  <si>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</si>
  <si>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</si>
  <si>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</si>
  <si>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</si>
  <si>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</si>
  <si>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</si>
  <si>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</si>
  <si>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</si>
  <si>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</si>
  <si>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</si>
  <si>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</si>
  <si>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</si>
  <si>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</si>
  <si>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</si>
  <si>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</si>
  <si>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</si>
  <si>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</si>
  <si>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</si>
  <si>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</si>
  <si>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</si>
  <si>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</si>
  <si>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</si>
  <si>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</si>
  <si>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</si>
  <si>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</si>
  <si>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</si>
  <si>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</si>
  <si>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</si>
  <si>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</si>
  <si>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</si>
  <si>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</si>
  <si>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</si>
  <si>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</si>
  <si>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</si>
  <si>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</si>
  <si>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</si>
  <si>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</si>
  <si>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</si>
  <si>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</si>
  <si>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</si>
  <si>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</si>
  <si>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</si>
  <si>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</si>
  <si>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</si>
  <si>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</si>
  <si>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</si>
  <si>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</si>
  <si>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</si>
  <si>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</si>
  <si>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</si>
  <si>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</si>
  <si>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</si>
  <si>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</si>
  <si>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</si>
  <si>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</si>
  <si>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</si>
  <si>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</si>
  <si>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</si>
  <si>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</si>
  <si>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</si>
  <si>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</si>
  <si>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</si>
  <si>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</si>
  <si>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</si>
  <si>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</si>
  <si>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</si>
  <si>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</si>
  <si>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</si>
  <si>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</si>
  <si>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</si>
  <si>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</si>
  <si>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</si>
  <si>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</si>
  <si>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</si>
  <si>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</si>
  <si>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</si>
  <si>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</si>
  <si>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</si>
  <si>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</si>
  <si>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</si>
  <si>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</si>
  <si>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</si>
  <si>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</si>
  <si>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</si>
  <si>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</si>
  <si>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</si>
  <si>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</si>
  <si>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</si>
  <si>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</si>
  <si>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</si>
  <si>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</si>
  <si>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</si>
  <si>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</si>
  <si>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</si>
  <si>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</si>
  <si>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</si>
  <si>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</si>
  <si>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</si>
  <si>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</si>
  <si>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</si>
  <si>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</si>
  <si>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</si>
  <si>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</si>
  <si>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</si>
  <si>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</si>
  <si>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</si>
  <si>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</si>
  <si>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</si>
  <si>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</si>
  <si>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</si>
  <si>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</si>
  <si>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</si>
  <si>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</si>
  <si>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</si>
  <si>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</si>
  <si>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</si>
  <si>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</si>
  <si>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</si>
  <si>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</si>
  <si>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</si>
  <si>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</si>
  <si>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</si>
  <si>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</si>
  <si>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</si>
  <si>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</si>
  <si>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</si>
  <si>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</si>
  <si>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</si>
  <si>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</si>
  <si>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</si>
  <si>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</si>
  <si>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</si>
  <si>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</si>
  <si>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</si>
  <si>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</si>
  <si>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</si>
  <si>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</si>
  <si>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</si>
  <si>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</si>
  <si>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</si>
  <si>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</si>
  <si>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</si>
  <si>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</si>
  <si>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</si>
  <si>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</si>
  <si>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</si>
  <si>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</si>
  <si>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</si>
  <si>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</si>
  <si>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</si>
  <si>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</si>
  <si>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</si>
  <si>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</si>
  <si>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</si>
  <si>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</si>
  <si>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</si>
  <si>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</si>
  <si>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</si>
  <si>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</si>
  <si>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</si>
  <si>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</si>
  <si>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</si>
  <si>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</si>
  <si>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</si>
  <si>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</si>
  <si>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</si>
  <si>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</si>
  <si>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</si>
  <si>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</si>
  <si>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</si>
  <si>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</si>
  <si>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</si>
  <si>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</si>
  <si>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</si>
  <si>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</si>
  <si>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</si>
  <si>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</si>
  <si>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</si>
  <si>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</si>
  <si>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</si>
  <si>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</si>
  <si>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</si>
  <si>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</si>
  <si>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</si>
  <si>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</si>
  <si>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</si>
  <si>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</si>
  <si>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</si>
  <si>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</si>
  <si>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</si>
  <si>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</si>
  <si>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</si>
  <si>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</si>
  <si>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</si>
  <si>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</si>
  <si>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</si>
  <si>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</si>
  <si>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</si>
  <si>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</si>
  <si>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</si>
  <si>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</si>
  <si>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</si>
  <si>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</si>
  <si>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</si>
  <si>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</si>
  <si>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</si>
  <si>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</si>
  <si>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</si>
  <si>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</si>
  <si>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</si>
  <si>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</si>
  <si>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</si>
  <si>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</si>
  <si>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</si>
  <si>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</si>
  <si>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</si>
  <si>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</si>
  <si>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</si>
  <si>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</si>
  <si>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</si>
  <si>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</si>
  <si>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</si>
  <si>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</si>
  <si>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</si>
  <si>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</si>
  <si>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</si>
  <si>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</si>
  <si>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</si>
  <si>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</si>
  <si>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</si>
  <si>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</si>
  <si>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</si>
  <si>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</si>
  <si>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</si>
  <si>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</si>
  <si>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</si>
  <si>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</si>
  <si>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</si>
  <si>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</si>
  <si>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</si>
  <si>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</si>
  <si>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</si>
  <si>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</si>
  <si>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</si>
  <si>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</si>
  <si>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</si>
  <si>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</si>
  <si>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</si>
  <si>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</si>
  <si>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</si>
  <si>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</si>
  <si>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</si>
  <si>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</si>
  <si>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</si>
  <si>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</si>
  <si>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</si>
  <si>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</si>
  <si>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</si>
  <si>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</si>
  <si>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</si>
  <si>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</si>
  <si>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</si>
  <si>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</si>
  <si>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</si>
  <si>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</si>
  <si>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</si>
  <si>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</si>
  <si>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</si>
  <si>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</si>
  <si>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</si>
  <si>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</si>
  <si>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</si>
  <si>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</si>
  <si>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</si>
  <si>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</si>
  <si>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</si>
  <si>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</si>
  <si>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</si>
  <si>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</si>
  <si>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</si>
  <si>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</si>
  <si>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</si>
  <si>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</si>
  <si>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</si>
  <si>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</si>
  <si>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</si>
  <si>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</si>
  <si>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</si>
  <si>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</si>
  <si>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</si>
  <si>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</si>
  <si>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</si>
  <si>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</si>
  <si>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</si>
  <si>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</si>
  <si>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</si>
  <si>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</si>
  <si>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</si>
  <si>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</si>
  <si>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</si>
  <si>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</si>
  <si>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</si>
  <si>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</si>
  <si>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</si>
  <si>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</si>
  <si>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</si>
  <si>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</si>
  <si>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</si>
  <si>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</si>
  <si>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</si>
  <si>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</si>
  <si>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</si>
  <si>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</si>
  <si>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</si>
  <si>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</si>
  <si>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</si>
  <si>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</si>
  <si>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</si>
  <si>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</si>
  <si>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</si>
  <si>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</si>
  <si>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</si>
  <si>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</si>
  <si>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</si>
  <si>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</si>
  <si>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</si>
  <si>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</si>
  <si>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</si>
  <si>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</si>
  <si>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</si>
  <si>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</si>
  <si>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</si>
  <si>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</si>
  <si>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</si>
  <si>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</si>
  <si>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</si>
  <si>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</si>
  <si>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</si>
  <si>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</si>
  <si>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</si>
  <si>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</si>
  <si>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</si>
  <si>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</si>
  <si>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</si>
  <si>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</si>
  <si>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</si>
  <si>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</si>
  <si>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</si>
  <si>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</si>
  <si>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</si>
  <si>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</si>
  <si>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</si>
  <si>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</si>
  <si>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</si>
  <si>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</si>
  <si>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</si>
  <si>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</si>
  <si>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</si>
  <si>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</si>
  <si>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</si>
  <si>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</si>
  <si>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</si>
  <si>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</si>
  <si>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</si>
  <si>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</si>
  <si>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</si>
  <si>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</si>
  <si>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</si>
  <si>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</si>
  <si>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</si>
  <si>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</si>
  <si>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</si>
  <si>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</si>
  <si>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</si>
  <si>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</si>
  <si>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</si>
  <si>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</si>
  <si>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</si>
  <si>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</si>
  <si>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</si>
  <si>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</si>
  <si>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</si>
  <si>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</si>
  <si>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</si>
  <si>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</si>
  <si>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</si>
  <si>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</si>
  <si>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</si>
  <si>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</si>
  <si>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</si>
  <si>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</si>
  <si>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</si>
  <si>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</si>
  <si>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</si>
  <si>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</si>
  <si>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</si>
  <si>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</si>
  <si>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</si>
  <si>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</si>
  <si>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</si>
  <si>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</si>
  <si>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</si>
  <si>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</si>
  <si>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</si>
  <si>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</si>
  <si>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</si>
  <si>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</si>
  <si>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</si>
  <si>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</si>
  <si>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</si>
  <si>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</si>
  <si>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</si>
  <si>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</si>
  <si>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</si>
  <si>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</si>
  <si>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</si>
  <si>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</si>
  <si>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</si>
  <si>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</si>
  <si>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</si>
  <si>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</si>
  <si>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</si>
  <si>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</si>
  <si>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</si>
  <si>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</si>
  <si>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</si>
  <si>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</si>
  <si>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</si>
  <si>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</si>
  <si>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</si>
  <si>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</si>
  <si>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</si>
  <si>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</si>
  <si>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</si>
  <si>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</si>
  <si>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</si>
  <si>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</si>
  <si>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</si>
  <si>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</si>
  <si>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</si>
  <si>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</si>
  <si>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</si>
  <si>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</si>
  <si>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</si>
  <si>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</si>
  <si>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</si>
  <si>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</si>
  <si>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</si>
  <si>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</si>
  <si>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</si>
  <si>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</si>
  <si>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</si>
  <si>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</si>
  <si>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</si>
  <si>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</si>
  <si>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</si>
  <si>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</si>
  <si>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</si>
  <si>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</si>
  <si>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</si>
  <si>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</si>
  <si>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</si>
  <si>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</si>
  <si>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</si>
  <si>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</si>
  <si>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</si>
  <si>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</si>
  <si>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</si>
  <si>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</si>
  <si>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</si>
  <si>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</si>
  <si>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</si>
  <si>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</si>
  <si>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</si>
  <si>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</si>
  <si>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</si>
  <si>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</si>
  <si>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</si>
  <si>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</si>
  <si>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</si>
  <si>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</si>
  <si>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</si>
  <si>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</si>
  <si>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</si>
  <si>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</si>
  <si>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</si>
  <si>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</si>
  <si>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</si>
  <si>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</si>
  <si>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</si>
  <si>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</si>
  <si>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</si>
  <si>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</si>
  <si>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</si>
  <si>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</si>
  <si>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</si>
  <si>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</si>
  <si>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</si>
  <si>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</si>
  <si>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</si>
  <si>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</si>
  <si>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</si>
  <si>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</si>
  <si>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</si>
  <si>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</si>
  <si>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</si>
  <si>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</si>
  <si>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</si>
  <si>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</si>
  <si>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</si>
  <si>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</si>
  <si>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</si>
  <si>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</si>
  <si>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</si>
  <si>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</si>
  <si>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</si>
  <si>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</si>
  <si>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</si>
  <si>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</si>
  <si>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</si>
  <si>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</si>
  <si>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</si>
  <si>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</si>
  <si>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</si>
  <si>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</si>
  <si>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</si>
  <si>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</si>
  <si>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</si>
  <si>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</si>
  <si>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</si>
  <si>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</si>
  <si>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</si>
  <si>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</si>
  <si>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</si>
  <si>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</si>
  <si>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</si>
  <si>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</si>
  <si>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</si>
  <si>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</si>
  <si>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</si>
  <si>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</si>
  <si>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</si>
  <si>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</si>
  <si>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</si>
  <si>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</si>
  <si>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</si>
  <si>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</si>
  <si>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</si>
  <si>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</si>
  <si>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</si>
  <si>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</si>
  <si>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</si>
  <si>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</si>
  <si>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</si>
  <si>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</si>
  <si>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</si>
  <si>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</si>
  <si>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</si>
  <si>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</si>
  <si>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</si>
  <si>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</si>
  <si>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</si>
  <si>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</si>
  <si>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</si>
  <si>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</si>
  <si>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</si>
  <si>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</si>
  <si>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</si>
  <si>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</si>
  <si>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</si>
  <si>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</si>
  <si>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</si>
  <si>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</si>
  <si>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</si>
  <si>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</si>
  <si>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</si>
  <si>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</si>
  <si>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</si>
  <si>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</si>
  <si>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</si>
  <si>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</si>
  <si>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</si>
  <si>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</si>
  <si>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</si>
  <si>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</si>
  <si>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</si>
  <si>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</si>
  <si>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</si>
  <si>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</si>
  <si>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</si>
  <si>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</si>
  <si>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</si>
  <si>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</si>
  <si>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</si>
  <si>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</si>
  <si>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</si>
  <si>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</si>
  <si>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</si>
  <si>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</si>
  <si>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</si>
  <si>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</si>
  <si>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</si>
  <si>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</si>
  <si>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</si>
  <si>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</si>
  <si>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</si>
  <si>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</si>
  <si>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</si>
  <si>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</si>
  <si>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</si>
  <si>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</si>
  <si>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</si>
  <si>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</si>
  <si>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</si>
  <si>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</si>
  <si>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</si>
  <si>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</si>
  <si>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</si>
  <si>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</si>
  <si>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</si>
  <si>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</si>
  <si>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</si>
  <si>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</si>
  <si>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</si>
  <si>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</si>
  <si>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</si>
  <si>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</si>
  <si>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</si>
  <si>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</si>
  <si>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</si>
  <si>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</si>
  <si>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</si>
  <si>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</si>
  <si>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</si>
  <si>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</si>
  <si>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</si>
  <si>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</si>
  <si>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</si>
  <si>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</si>
  <si>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</si>
  <si>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</si>
  <si>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</si>
  <si>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</si>
  <si>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</si>
  <si>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</si>
  <si>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</si>
  <si>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</si>
  <si>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</si>
  <si>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</si>
  <si>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</si>
  <si>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</si>
  <si>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</si>
  <si>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</si>
  <si>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</si>
  <si>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</si>
  <si>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</si>
  <si>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</si>
  <si>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</si>
  <si>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</si>
  <si>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</si>
  <si>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</si>
  <si>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</si>
  <si>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</si>
  <si>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</si>
  <si>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</si>
  <si>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</si>
  <si>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</si>
  <si>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</si>
  <si>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</si>
  <si>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</si>
  <si>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</si>
  <si>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</si>
  <si>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</si>
  <si>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</si>
  <si>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</si>
  <si>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</si>
  <si>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</si>
  <si>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</si>
  <si>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</si>
  <si>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</si>
  <si>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</si>
  <si>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</si>
  <si>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</si>
  <si>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</si>
  <si>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</si>
  <si>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</si>
  <si>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</si>
  <si>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</si>
  <si>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</si>
  <si>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</si>
  <si>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</si>
  <si>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</si>
  <si>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</si>
  <si>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</si>
  <si>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</si>
  <si>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</si>
  <si>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</si>
  <si>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</si>
  <si>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</si>
  <si>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</si>
  <si>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</si>
  <si>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</si>
  <si>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</si>
  <si>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</si>
  <si>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</si>
  <si>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</si>
  <si>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</si>
  <si>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</si>
  <si>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</si>
  <si>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</si>
  <si>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</si>
  <si>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</si>
  <si>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</si>
  <si>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</si>
  <si>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</si>
  <si>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</si>
  <si>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</si>
  <si>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</si>
  <si>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</si>
  <si>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</si>
  <si>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</si>
  <si>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</si>
  <si>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</si>
  <si>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</si>
  <si>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</si>
  <si>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</si>
  <si>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</si>
  <si>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</si>
  <si>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</si>
  <si>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</si>
  <si>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</si>
  <si>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</si>
  <si>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</si>
  <si>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</si>
  <si>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</si>
  <si>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</si>
  <si>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</si>
  <si>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</si>
  <si>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</si>
  <si>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</si>
  <si>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</si>
  <si>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</si>
  <si>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</si>
  <si>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</si>
  <si>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</si>
  <si>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</si>
  <si>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</si>
  <si>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</si>
  <si>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</si>
  <si>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</si>
  <si>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</si>
  <si>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</si>
  <si>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</si>
  <si>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</si>
  <si>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</si>
  <si>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</si>
  <si>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</si>
  <si>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</si>
  <si>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</si>
  <si>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</si>
  <si>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</si>
  <si>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</si>
  <si>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</si>
  <si>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</si>
  <si>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</si>
  <si>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</si>
  <si>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</si>
  <si>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</si>
  <si>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</si>
  <si>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</si>
  <si>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</si>
  <si>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</si>
  <si>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</si>
  <si>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</si>
  <si>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</si>
  <si>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</si>
  <si>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</si>
  <si>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</si>
  <si>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</si>
  <si>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</si>
  <si>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</si>
  <si>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</si>
  <si>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</si>
  <si>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</si>
  <si>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</si>
  <si>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</si>
  <si>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</si>
  <si>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</si>
  <si>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</si>
  <si>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</si>
  <si>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</si>
  <si>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</si>
  <si>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</si>
  <si>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</si>
  <si>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</si>
  <si>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</si>
  <si>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</si>
  <si>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</si>
  <si>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</si>
  <si>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</si>
  <si>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</si>
  <si>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</si>
  <si>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</si>
  <si>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</si>
  <si>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</si>
  <si>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</si>
  <si>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</si>
  <si>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</si>
  <si>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</si>
  <si>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</si>
  <si>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</si>
  <si>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</si>
  <si>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</si>
  <si>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</si>
  <si>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</si>
  <si>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</si>
  <si>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</si>
  <si>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</si>
  <si>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</si>
  <si>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</si>
  <si>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</si>
  <si>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</si>
  <si>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</si>
  <si>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</si>
  <si>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</si>
  <si>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</si>
  <si>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</si>
  <si>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</si>
  <si>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</si>
  <si>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</si>
  <si>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</si>
  <si>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</si>
  <si>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</si>
  <si>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</si>
  <si>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</si>
  <si>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</si>
  <si>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</si>
  <si>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</si>
  <si>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</si>
  <si>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</si>
  <si>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</si>
  <si>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</si>
  <si>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</si>
  <si>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</si>
  <si>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</si>
  <si>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</si>
  <si>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</si>
  <si>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</si>
  <si>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</si>
  <si>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</si>
  <si>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</si>
  <si>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</si>
  <si>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</si>
  <si>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</si>
  <si>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</si>
  <si>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</si>
  <si>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</si>
  <si>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</si>
  <si>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</si>
  <si>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</si>
  <si>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</si>
  <si>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</si>
  <si>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</si>
  <si>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</si>
  <si>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</si>
  <si>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</si>
  <si>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</si>
  <si>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</si>
  <si>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</si>
  <si>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</si>
  <si>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</si>
  <si>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</si>
  <si>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</si>
  <si>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</si>
  <si>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</si>
  <si>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</si>
  <si>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</si>
  <si>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</si>
  <si>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</si>
  <si>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</si>
  <si>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</si>
  <si>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</si>
  <si>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</si>
  <si>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</si>
  <si>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</si>
  <si>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</si>
  <si>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</si>
  <si>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</si>
  <si>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</si>
  <si>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</si>
  <si>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</si>
  <si>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</si>
  <si>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</si>
  <si>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</si>
  <si>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</si>
  <si>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</si>
  <si>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</si>
  <si>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</si>
  <si>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</si>
  <si>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</si>
  <si>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</si>
  <si>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</si>
  <si>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</si>
  <si>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</si>
  <si>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</si>
  <si>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</si>
  <si>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</si>
  <si>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</si>
  <si>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</si>
  <si>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</si>
  <si>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</si>
  <si>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</si>
  <si>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</si>
  <si>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</si>
  <si>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</si>
  <si>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</si>
  <si>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</si>
  <si>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</si>
  <si>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</si>
  <si>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</si>
  <si>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</si>
  <si>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</si>
  <si>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</si>
  <si>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</si>
  <si>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</si>
  <si>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</si>
  <si>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</si>
  <si>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</si>
  <si>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</si>
  <si>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</si>
  <si>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</si>
  <si>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</si>
  <si>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</si>
  <si>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</si>
  <si>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</si>
  <si>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</si>
  <si>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</si>
  <si>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</si>
  <si>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</si>
  <si>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</si>
  <si>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</si>
  <si>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</si>
  <si>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</si>
  <si>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</si>
  <si>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</si>
  <si>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</si>
  <si>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</si>
  <si>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</si>
  <si>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</si>
  <si>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</si>
  <si>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</si>
  <si>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</si>
  <si>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</si>
  <si>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</si>
  <si>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</si>
  <si>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</si>
  <si>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</si>
  <si>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</si>
  <si>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</si>
  <si>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</si>
  <si>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</si>
  <si>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</si>
  <si>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</si>
  <si>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</si>
  <si>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</si>
  <si>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</si>
  <si>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</si>
  <si>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</si>
  <si>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</si>
  <si>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</si>
  <si>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</si>
  <si>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</si>
  <si>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</si>
  <si>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</si>
  <si>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</si>
  <si>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</si>
  <si>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</si>
  <si>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</si>
  <si>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</si>
  <si>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</si>
  <si>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</si>
  <si>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</si>
  <si>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</si>
  <si>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</si>
  <si>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</si>
  <si>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</si>
  <si>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</si>
  <si>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</si>
  <si>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</si>
  <si>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</si>
  <si>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</si>
  <si>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</si>
  <si>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</si>
  <si>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</si>
  <si>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</si>
  <si>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</si>
  <si>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</si>
  <si>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</si>
  <si>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</si>
  <si>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</si>
  <si>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</si>
  <si>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</si>
  <si>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</si>
  <si>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</si>
  <si>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</si>
  <si>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</si>
  <si>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</si>
  <si>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</si>
  <si>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</si>
  <si>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</si>
  <si>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</si>
  <si>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</si>
  <si>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</si>
  <si>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</si>
  <si>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</si>
  <si>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</si>
  <si>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</si>
  <si>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</si>
  <si>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</si>
  <si>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</si>
  <si>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</si>
  <si>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</si>
  <si>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</si>
  <si>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</si>
  <si>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</si>
  <si>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</si>
  <si>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</si>
  <si>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</si>
  <si>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</si>
  <si>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</si>
  <si>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</si>
  <si>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</si>
  <si>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</si>
  <si>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</si>
  <si>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</si>
  <si>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</si>
  <si>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</si>
  <si>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</si>
  <si>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</si>
  <si>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</si>
  <si>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</si>
  <si>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</si>
  <si>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</si>
  <si>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</si>
  <si>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</si>
  <si>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</si>
  <si>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</si>
  <si>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</si>
  <si>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</si>
  <si>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</si>
  <si>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</si>
  <si>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</si>
  <si>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</si>
  <si>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</si>
  <si>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</si>
  <si>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</si>
  <si>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</si>
  <si>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</si>
  <si>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</si>
  <si>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</si>
  <si>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</si>
  <si>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</si>
  <si>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</si>
  <si>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</si>
  <si>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</si>
  <si>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</si>
  <si>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</si>
  <si>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</si>
  <si>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</si>
  <si>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</si>
  <si>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</si>
  <si>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</si>
  <si>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</si>
  <si>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</si>
  <si>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</si>
  <si>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</si>
  <si>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</si>
  <si>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</si>
  <si>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</si>
  <si>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</si>
  <si>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</si>
  <si>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</si>
  <si>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</si>
  <si>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</si>
  <si>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</si>
  <si>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</si>
  <si>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</si>
  <si>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</si>
  <si>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</si>
  <si>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</si>
  <si>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</si>
  <si>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</si>
  <si>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</si>
  <si>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</si>
  <si>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</si>
  <si>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</si>
  <si>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</si>
  <si>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</si>
  <si>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</si>
  <si>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</si>
  <si>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</si>
  <si>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</si>
  <si>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</si>
  <si>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</si>
  <si>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</si>
  <si>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</si>
  <si>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</si>
  <si>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</si>
  <si>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</si>
  <si>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</si>
  <si>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</si>
  <si>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</si>
  <si>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</si>
  <si>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</si>
  <si>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</si>
  <si>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</si>
  <si>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</si>
  <si>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</si>
  <si>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</si>
  <si>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</si>
  <si>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</si>
  <si>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</si>
  <si>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</si>
  <si>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</si>
  <si>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</si>
  <si>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</si>
  <si>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</si>
  <si>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</si>
  <si>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</si>
  <si>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</si>
  <si>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</si>
  <si>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</si>
  <si>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</si>
  <si>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</si>
  <si>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</si>
  <si>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</si>
  <si>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</si>
  <si>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</si>
  <si>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</si>
  <si>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</si>
  <si>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</si>
  <si>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</si>
  <si>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</si>
  <si>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</si>
  <si>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</si>
  <si>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</si>
  <si>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</si>
  <si>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</si>
  <si>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</si>
  <si>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</si>
  <si>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</si>
  <si>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</si>
  <si>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</si>
  <si>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</si>
  <si>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</si>
  <si>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</si>
  <si>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</si>
  <si>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</si>
  <si>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</si>
  <si>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</si>
  <si>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</si>
  <si>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</si>
  <si>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</si>
  <si>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</si>
  <si>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</si>
  <si>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</si>
  <si>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</si>
  <si>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</si>
  <si>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</si>
  <si>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</si>
  <si>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</si>
  <si>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</si>
  <si>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</si>
  <si>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</si>
  <si>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</si>
  <si>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</si>
  <si>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</si>
  <si>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</si>
  <si>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</si>
  <si>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</si>
  <si>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</si>
  <si>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</si>
  <si>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</si>
  <si>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</si>
  <si>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</si>
  <si>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</si>
  <si>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</si>
  <si>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</si>
  <si>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</si>
  <si>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</si>
  <si>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</si>
  <si>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</si>
  <si>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</si>
  <si>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</si>
  <si>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</si>
  <si>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</si>
  <si>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</si>
  <si>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</si>
  <si>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</si>
  <si>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</si>
  <si>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</si>
  <si>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</si>
  <si>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</si>
  <si>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</si>
  <si>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</si>
  <si>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</si>
  <si>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</si>
  <si>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</si>
  <si>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</si>
  <si>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</si>
  <si>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</si>
  <si>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</si>
  <si>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</si>
  <si>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</si>
  <si>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</si>
  <si>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</si>
  <si>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</si>
  <si>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</si>
  <si>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</si>
  <si>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</si>
  <si>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</si>
  <si>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</si>
  <si>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</si>
  <si>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</si>
  <si>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</si>
  <si>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</si>
  <si>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</si>
  <si>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</si>
  <si>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</si>
  <si>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</si>
  <si>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</si>
  <si>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</si>
  <si>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</si>
  <si>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</si>
  <si>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</si>
  <si>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</si>
  <si>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</si>
  <si>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</si>
  <si>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</si>
  <si>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</si>
  <si>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</si>
  <si>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</si>
  <si>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</si>
  <si>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</si>
  <si>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</si>
  <si>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</si>
  <si>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</si>
  <si>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</si>
  <si>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</si>
  <si>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</si>
  <si>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</si>
  <si>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</si>
  <si>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</si>
  <si>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</si>
  <si>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</si>
  <si>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</si>
  <si>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</si>
  <si>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</si>
  <si>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</si>
  <si>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</si>
  <si>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</si>
  <si>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</si>
  <si>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</si>
  <si>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</si>
  <si>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</si>
  <si>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</si>
  <si>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</si>
  <si>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</si>
  <si>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</si>
  <si>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</si>
  <si>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</si>
  <si>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</si>
  <si>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</si>
  <si>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</si>
  <si>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</si>
  <si>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</si>
  <si>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</si>
  <si>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</si>
  <si>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</si>
  <si>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</si>
  <si>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</si>
  <si>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</si>
  <si>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</si>
  <si>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</si>
  <si>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</si>
  <si>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</si>
  <si>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</si>
  <si>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</si>
  <si>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</si>
  <si>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</si>
  <si>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</si>
  <si>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</si>
  <si>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</si>
  <si>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</si>
  <si>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</si>
  <si>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</si>
  <si>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</si>
  <si>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</si>
  <si>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</si>
  <si>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</si>
  <si>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</si>
  <si>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</si>
  <si>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</si>
  <si>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</si>
  <si>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</si>
  <si>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</si>
  <si>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</si>
  <si>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</si>
  <si>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</si>
  <si>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</si>
  <si>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</si>
  <si>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</si>
  <si>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</si>
  <si>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</si>
  <si>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</si>
  <si>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</si>
  <si>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</si>
  <si>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</si>
  <si>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</si>
  <si>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</si>
  <si>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</si>
  <si>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</si>
  <si>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</si>
  <si>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</si>
  <si>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</si>
  <si>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</si>
  <si>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</si>
  <si>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</si>
  <si>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</si>
  <si>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</si>
  <si>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</si>
  <si>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</si>
  <si>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</si>
  <si>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</si>
  <si>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</si>
  <si>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</si>
  <si>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</si>
  <si>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</si>
  <si>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</si>
  <si>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</si>
  <si>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</si>
  <si>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</si>
  <si>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</si>
  <si>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</si>
  <si>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</si>
  <si>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</si>
  <si>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</si>
  <si>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</si>
  <si>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</si>
  <si>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</si>
  <si>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</si>
  <si>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</si>
  <si>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</si>
  <si>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</si>
  <si>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</si>
  <si>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</si>
  <si>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</si>
  <si>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</si>
  <si>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</si>
  <si>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</si>
  <si>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</si>
  <si>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</si>
  <si>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</si>
  <si>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</si>
  <si>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</si>
  <si>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</si>
  <si>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</si>
  <si>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</si>
  <si>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</si>
  <si>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</si>
  <si>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</si>
  <si>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</si>
  <si>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</si>
  <si>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</si>
  <si>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</si>
  <si>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</si>
  <si>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</si>
  <si>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</si>
  <si>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</si>
  <si>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</si>
  <si>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</si>
  <si>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</si>
  <si>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</si>
  <si>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</si>
  <si>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</si>
  <si>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</si>
  <si>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</si>
  <si>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</si>
  <si>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</si>
  <si>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</si>
  <si>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</si>
  <si>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</si>
  <si>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</si>
  <si>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</si>
  <si>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</si>
  <si>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</si>
  <si>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</si>
  <si>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</si>
  <si>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</si>
  <si>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</si>
  <si>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</si>
  <si>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</si>
  <si>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</si>
  <si>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</si>
  <si>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</si>
  <si>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</si>
  <si>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</si>
  <si>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</si>
  <si>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</si>
  <si>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</si>
  <si>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</si>
  <si>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</si>
  <si>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</si>
  <si>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</si>
  <si>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</si>
  <si>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</si>
  <si>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</si>
  <si>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</si>
  <si>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</si>
  <si>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</si>
  <si>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</si>
  <si>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</si>
  <si>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</si>
  <si>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</si>
  <si>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</si>
  <si>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</si>
  <si>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</si>
  <si>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</si>
  <si>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</si>
  <si>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</si>
  <si>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</si>
  <si>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</si>
  <si>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</si>
  <si>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</si>
  <si>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</si>
  <si>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</si>
  <si>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</si>
  <si>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</si>
  <si>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</si>
  <si>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</si>
  <si>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</si>
  <si>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</si>
  <si>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</si>
  <si>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</si>
  <si>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</si>
  <si>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</si>
  <si>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</si>
  <si>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</si>
  <si>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</si>
  <si>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</si>
  <si>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</si>
  <si>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</si>
  <si>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</si>
  <si>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</si>
  <si>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</si>
  <si>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</si>
  <si>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</si>
  <si>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</si>
  <si>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</si>
  <si>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</si>
  <si>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</si>
  <si>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</si>
  <si>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</si>
  <si>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</si>
  <si>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</si>
  <si>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</si>
  <si>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</si>
  <si>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</si>
  <si>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</si>
  <si>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</si>
  <si>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</si>
  <si>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</si>
  <si>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</si>
  <si>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</si>
  <si>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</si>
  <si>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</si>
  <si>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</si>
  <si>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</si>
  <si>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</si>
  <si>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</si>
  <si>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</si>
  <si>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</si>
  <si>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</si>
  <si>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</si>
  <si>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</si>
  <si>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</si>
  <si>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</si>
  <si>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</si>
  <si>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</si>
  <si>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</si>
  <si>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</si>
  <si>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</si>
  <si>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</si>
  <si>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</si>
  <si>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</si>
  <si>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</si>
  <si>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</si>
  <si>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</si>
  <si>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</si>
  <si>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</si>
  <si>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</si>
  <si>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</si>
  <si>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</si>
  <si>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</si>
  <si>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</si>
  <si>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</si>
  <si>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</si>
  <si>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</si>
  <si>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</si>
  <si>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</si>
  <si>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</si>
  <si>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</si>
  <si>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</si>
  <si>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</si>
  <si>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</si>
  <si>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</si>
  <si>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</si>
  <si>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</si>
  <si>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</si>
  <si>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</si>
  <si>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</si>
  <si>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</si>
  <si>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</si>
  <si>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</si>
  <si>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</si>
  <si>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</si>
  <si>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</si>
  <si>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</si>
  <si>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</si>
  <si>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</si>
  <si>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</si>
  <si>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</si>
  <si>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</si>
  <si>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</si>
  <si>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</si>
  <si>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</si>
  <si>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</si>
  <si>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</si>
  <si>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</si>
  <si>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</si>
  <si>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</si>
  <si>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</si>
  <si>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</si>
  <si>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</si>
  <si>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</si>
  <si>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</si>
  <si>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</si>
  <si>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</si>
  <si>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</si>
  <si>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</si>
  <si>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</si>
  <si>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</si>
  <si>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</si>
  <si>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</si>
  <si>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</si>
  <si>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</si>
  <si>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</si>
  <si>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</si>
  <si>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</si>
  <si>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</si>
  <si>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</si>
  <si>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</si>
  <si>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</si>
  <si>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</si>
  <si>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</si>
  <si>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</si>
  <si>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</si>
  <si>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</si>
  <si>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</si>
  <si>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</si>
  <si>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</si>
  <si>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</si>
  <si>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</si>
  <si>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</si>
  <si>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</si>
  <si>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</si>
  <si>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</si>
  <si>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</si>
  <si>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</si>
  <si>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</si>
  <si>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</si>
  <si>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</si>
  <si>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</si>
  <si>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</si>
  <si>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</si>
  <si>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</si>
  <si>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</si>
  <si>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</si>
  <si>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</si>
  <si>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</si>
  <si>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</si>
  <si>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</si>
  <si>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</si>
  <si>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</si>
  <si>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</si>
  <si>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</si>
  <si>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</si>
  <si>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</si>
  <si>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</si>
  <si>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</si>
  <si>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</si>
  <si>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</si>
  <si>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</si>
  <si>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</si>
  <si>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</si>
  <si>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</si>
  <si>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</si>
  <si>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</si>
  <si>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</si>
  <si>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</si>
  <si>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</si>
  <si>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</si>
  <si>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</si>
  <si>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</si>
  <si>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</si>
  <si>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</si>
  <si>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</si>
  <si>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</si>
  <si>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</si>
  <si>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</si>
  <si>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</si>
  <si>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</si>
  <si>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</si>
  <si>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</si>
  <si>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</si>
  <si>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</si>
  <si>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</si>
  <si>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</si>
  <si>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</si>
  <si>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</si>
  <si>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</si>
  <si>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</si>
  <si>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</si>
  <si>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</si>
  <si>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</si>
  <si>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</si>
  <si>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</si>
  <si>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</si>
  <si>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</si>
  <si>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</si>
  <si>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</si>
  <si>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</si>
  <si>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</si>
  <si>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</si>
  <si>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</si>
  <si>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</si>
  <si>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</si>
  <si>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</si>
  <si>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</si>
  <si>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</si>
  <si>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</si>
  <si>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</si>
  <si>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</si>
  <si>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</si>
  <si>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</si>
  <si>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</si>
  <si>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</si>
  <si>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</si>
  <si>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</si>
  <si>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</si>
  <si>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</si>
  <si>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</si>
  <si>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</si>
  <si>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</si>
  <si>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</si>
  <si>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</si>
  <si>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</si>
  <si>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</si>
  <si>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</si>
  <si>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</si>
  <si>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</si>
  <si>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</si>
  <si>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</si>
  <si>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</si>
  <si>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</si>
  <si>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</si>
  <si>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</si>
  <si>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</si>
  <si>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</si>
  <si>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</si>
  <si>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</si>
  <si>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</si>
  <si>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</si>
  <si>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</si>
  <si>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</si>
  <si>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</si>
  <si>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</si>
  <si>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</si>
  <si>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</si>
  <si>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</si>
  <si>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</si>
  <si>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</si>
  <si>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</si>
  <si>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</si>
  <si>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</si>
  <si>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</si>
  <si>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</si>
  <si>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</si>
  <si>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</si>
  <si>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</si>
  <si>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</si>
  <si>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</si>
  <si>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</si>
  <si>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</si>
  <si>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</si>
  <si>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</si>
  <si>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</si>
  <si>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</si>
  <si>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</si>
  <si>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</si>
  <si>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</si>
  <si>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</si>
  <si>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</si>
  <si>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</si>
  <si>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</si>
  <si>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</si>
  <si>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</si>
  <si>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</si>
  <si>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</si>
  <si>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</si>
  <si>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</si>
  <si>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</si>
  <si>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</si>
  <si>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</si>
  <si>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</si>
  <si>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</si>
  <si>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</si>
  <si>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</si>
  <si>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</si>
  <si>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</si>
  <si>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</si>
  <si>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</si>
  <si>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</si>
  <si>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</si>
  <si>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</si>
  <si>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</si>
  <si>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</si>
  <si>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</si>
  <si>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</si>
  <si>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</si>
  <si>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</si>
  <si>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</si>
  <si>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</si>
  <si>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</si>
  <si>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</si>
  <si>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</si>
  <si>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</si>
  <si>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</si>
  <si>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</si>
  <si>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</si>
  <si>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</si>
  <si>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</si>
  <si>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</si>
  <si>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</si>
  <si>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</si>
  <si>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</si>
  <si>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</si>
  <si>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</si>
  <si>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</si>
  <si>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</si>
  <si>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</si>
  <si>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</si>
  <si>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</si>
  <si>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</si>
  <si>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</si>
  <si>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</si>
  <si>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</si>
  <si>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</si>
  <si>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</si>
  <si>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</si>
  <si>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</si>
  <si>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</si>
  <si>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</si>
  <si>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</si>
  <si>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</si>
  <si>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</si>
  <si>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</si>
  <si>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</si>
  <si>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</si>
  <si>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</si>
  <si>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</si>
  <si>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</si>
  <si>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</si>
  <si>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</si>
  <si>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</si>
  <si>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</si>
  <si>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</si>
  <si>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</si>
  <si>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</si>
  <si>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</si>
  <si>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</si>
  <si>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</si>
  <si>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</si>
  <si>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</si>
  <si>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</si>
  <si>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</si>
  <si>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</si>
  <si>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</si>
  <si>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</si>
  <si>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</si>
  <si>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</si>
  <si>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</si>
  <si>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</si>
  <si>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</si>
  <si>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</si>
  <si>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</si>
  <si>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</si>
  <si>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</si>
  <si>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</si>
  <si>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</si>
  <si>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</si>
  <si>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</si>
  <si>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</si>
  <si>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</si>
  <si>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</si>
  <si>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</si>
  <si>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</si>
  <si>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</si>
  <si>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</si>
  <si>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</si>
  <si>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</si>
  <si>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</si>
  <si>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</si>
  <si>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</si>
  <si>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</si>
  <si>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</si>
  <si>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</si>
  <si>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</si>
  <si>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</si>
  <si>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</si>
  <si>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</si>
  <si>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</si>
  <si>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</si>
  <si>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</si>
  <si>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</si>
  <si>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</si>
  <si>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</si>
  <si>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</si>
  <si>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</si>
  <si>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</si>
  <si>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</si>
  <si>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</si>
  <si>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</si>
  <si>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</si>
  <si>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</si>
  <si>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</si>
  <si>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</si>
  <si>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</si>
  <si>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</si>
  <si>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</si>
  <si>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</si>
  <si>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</si>
  <si>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</si>
  <si>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</si>
  <si>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</si>
  <si>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</si>
  <si>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</si>
  <si>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</si>
  <si>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</si>
  <si>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</si>
  <si>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</si>
  <si>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</si>
  <si>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</si>
  <si>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</si>
  <si>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</si>
  <si>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</si>
  <si>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</si>
  <si>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</si>
  <si>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</si>
  <si>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</si>
  <si>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</si>
  <si>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</si>
  <si>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</si>
  <si>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</si>
  <si>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</si>
  <si>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</si>
  <si>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</si>
  <si>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</si>
  <si>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</si>
  <si>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</si>
  <si>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</si>
  <si>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</si>
  <si>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</si>
  <si>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</si>
  <si>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</si>
  <si>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</si>
  <si>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</si>
  <si>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</si>
  <si>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</si>
  <si>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</si>
  <si>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</si>
  <si>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</si>
  <si>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</si>
  <si>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</si>
  <si>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</si>
  <si>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</si>
  <si>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</si>
  <si>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</si>
  <si>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</si>
  <si>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</si>
  <si>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</si>
  <si>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</si>
  <si>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</si>
  <si>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</si>
  <si>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</si>
  <si>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</si>
  <si>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</si>
  <si>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</si>
  <si>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</si>
  <si>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</si>
  <si>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</si>
  <si>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</si>
  <si>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</si>
  <si>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</si>
  <si>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</si>
  <si>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</si>
  <si>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</si>
  <si>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</si>
  <si>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</si>
  <si>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</si>
  <si>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</si>
  <si>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</si>
  <si>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</si>
  <si>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</si>
  <si>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</si>
  <si>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</si>
  <si>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</si>
  <si>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</si>
  <si>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</si>
  <si>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</si>
  <si>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</si>
  <si>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</si>
  <si>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</si>
  <si>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</si>
  <si>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</si>
  <si>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</si>
  <si>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</si>
  <si>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</si>
  <si>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</si>
  <si>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</si>
  <si>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</si>
  <si>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</si>
  <si>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</si>
  <si>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</si>
  <si>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</si>
  <si>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</si>
  <si>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</si>
  <si>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</si>
  <si>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</si>
  <si>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</si>
  <si>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</si>
  <si>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</si>
  <si>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</si>
  <si>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</si>
  <si>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</si>
  <si>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</si>
  <si>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</si>
  <si>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</si>
  <si>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</si>
  <si>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</si>
  <si>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</si>
  <si>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</si>
  <si>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</si>
  <si>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</si>
  <si>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</si>
  <si>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</si>
  <si>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</si>
  <si>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</si>
  <si>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</si>
  <si>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</si>
  <si>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</si>
  <si>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</si>
  <si>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</si>
  <si>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</si>
  <si>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</si>
  <si>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</si>
  <si>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</si>
  <si>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</si>
  <si>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</si>
  <si>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</si>
  <si>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</si>
  <si>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</si>
  <si>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</si>
  <si>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</si>
  <si>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</si>
  <si>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</si>
  <si>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</si>
  <si>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</si>
  <si>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</si>
  <si>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</si>
  <si>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</si>
  <si>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</si>
  <si>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</si>
  <si>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</si>
  <si>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</si>
  <si>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</si>
  <si>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</si>
  <si>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</si>
  <si>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</si>
  <si>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</si>
  <si>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</si>
  <si>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</si>
  <si>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</si>
  <si>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</si>
  <si>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</si>
  <si>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</si>
  <si>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</si>
  <si>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</si>
  <si>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</si>
  <si>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</si>
  <si>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</si>
  <si>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</si>
  <si>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</si>
  <si>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</si>
  <si>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</si>
  <si>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</si>
  <si>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</si>
  <si>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</si>
  <si>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</si>
  <si>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</si>
  <si>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</si>
  <si>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</si>
  <si>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</si>
  <si>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</si>
  <si>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</si>
  <si>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</si>
  <si>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</si>
  <si>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</si>
  <si>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</si>
  <si>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</si>
  <si>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</si>
  <si>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</si>
  <si>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</si>
  <si>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</si>
  <si>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</si>
  <si>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</si>
  <si>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</si>
  <si>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</si>
  <si>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</si>
  <si>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</si>
  <si>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</si>
  <si>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</si>
  <si>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</si>
  <si>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</si>
  <si>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</si>
  <si>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</si>
  <si>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</si>
  <si>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</si>
  <si>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</si>
  <si>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</si>
  <si>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</si>
  <si>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</si>
  <si>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</si>
  <si>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</si>
  <si>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</si>
  <si>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</si>
  <si>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</si>
  <si>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</si>
  <si>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</si>
  <si>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</si>
  <si>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</si>
  <si>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</si>
  <si>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</si>
  <si>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</si>
  <si>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</si>
  <si>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</si>
  <si>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</si>
  <si>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</si>
  <si>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</si>
  <si>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</si>
  <si>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</si>
  <si>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</si>
  <si>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</si>
  <si>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</si>
  <si>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</si>
  <si>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</si>
  <si>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</si>
  <si>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</si>
  <si>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</si>
  <si>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</si>
  <si>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</si>
  <si>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</si>
  <si>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</si>
  <si>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</si>
  <si>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</si>
  <si>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</si>
  <si>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</si>
  <si>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</si>
  <si>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</si>
  <si>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</si>
  <si>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</si>
  <si>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</si>
  <si>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</si>
  <si>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</si>
  <si>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</si>
  <si>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</si>
  <si>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</si>
  <si>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</si>
  <si>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</si>
  <si>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</si>
  <si>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</si>
  <si>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</si>
  <si>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</si>
  <si>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</si>
  <si>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</si>
  <si>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</si>
  <si>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</si>
  <si>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</si>
  <si>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</si>
  <si>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</si>
  <si>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</si>
  <si>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</si>
  <si>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</si>
  <si>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</si>
  <si>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</si>
  <si>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</si>
  <si>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</si>
  <si>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</si>
  <si>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</si>
  <si>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</si>
  <si>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</si>
  <si>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</si>
  <si>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</si>
  <si>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</si>
  <si>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</si>
  <si>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</si>
  <si>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</si>
  <si>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</si>
  <si>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</si>
  <si>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</si>
  <si>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</si>
  <si>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</si>
  <si>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</si>
  <si>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</si>
  <si>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</si>
  <si>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</si>
  <si>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</si>
  <si>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</si>
  <si>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</si>
  <si>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</si>
  <si>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</si>
  <si>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</si>
  <si>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</si>
  <si>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</si>
  <si>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</si>
  <si>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</si>
  <si>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</si>
  <si>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</si>
  <si>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</si>
  <si>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</si>
  <si>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</si>
  <si>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</si>
  <si>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</si>
  <si>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</si>
  <si>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</si>
  <si>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</si>
  <si>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</si>
  <si>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</si>
  <si>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</si>
  <si>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</si>
  <si>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</si>
  <si>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</si>
  <si>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</si>
  <si>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</si>
  <si>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</si>
  <si>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</si>
  <si>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</si>
  <si>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</si>
  <si>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</si>
  <si>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</si>
  <si>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</si>
  <si>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</si>
  <si>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</si>
  <si>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</si>
  <si>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</si>
  <si>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</si>
  <si>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</si>
  <si>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</si>
  <si>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</si>
  <si>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</si>
  <si>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</si>
  <si>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</si>
  <si>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</si>
  <si>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</si>
  <si>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</si>
  <si>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</si>
  <si>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</si>
  <si>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</si>
  <si>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</si>
  <si>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</si>
  <si>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</si>
  <si>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</si>
  <si>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</si>
  <si>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</si>
  <si>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</si>
  <si>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</si>
  <si>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</si>
  <si>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</si>
  <si>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</si>
  <si>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</si>
  <si>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</si>
  <si>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</si>
  <si>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</si>
  <si>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</si>
  <si>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</si>
  <si>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</si>
  <si>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</si>
  <si>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</si>
  <si>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</si>
  <si>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</si>
  <si>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</si>
  <si>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</si>
  <si>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</si>
  <si>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</si>
  <si>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</si>
  <si>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</si>
  <si>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</si>
  <si>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</si>
  <si>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</si>
  <si>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</si>
  <si>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</si>
  <si>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</si>
  <si>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</si>
  <si>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</si>
  <si>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</si>
  <si>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</si>
  <si>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</si>
  <si>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</si>
  <si>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</si>
  <si>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</si>
  <si>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</si>
  <si>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</si>
  <si>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</si>
  <si>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</si>
  <si>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</si>
  <si>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</si>
  <si>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</si>
  <si>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</si>
  <si>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</si>
  <si>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</si>
  <si>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</si>
  <si>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</si>
  <si>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</si>
  <si>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</si>
  <si>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</si>
  <si>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</si>
  <si>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</si>
  <si>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</si>
  <si>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</si>
  <si>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</si>
  <si>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</si>
  <si>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</si>
  <si>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</si>
  <si>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</si>
  <si>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</si>
  <si>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</si>
  <si>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</si>
  <si>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</si>
  <si>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</si>
  <si>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</si>
  <si>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</si>
  <si>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</si>
  <si>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</si>
  <si>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</si>
  <si>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</si>
  <si>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</si>
  <si>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</si>
  <si>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</si>
  <si>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</si>
  <si>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</si>
  <si>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</si>
  <si>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</si>
  <si>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</si>
  <si>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</si>
  <si>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</si>
  <si>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</si>
  <si>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</si>
  <si>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</si>
  <si>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</si>
  <si>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</si>
  <si>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</si>
  <si>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</si>
  <si>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</si>
  <si>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</si>
  <si>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</si>
  <si>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</si>
  <si>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</si>
  <si>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</si>
  <si>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</si>
  <si>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</si>
  <si>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</si>
  <si>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</si>
  <si>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</si>
  <si>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</si>
  <si>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</si>
  <si>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</si>
  <si>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</si>
  <si>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</si>
  <si>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</si>
  <si>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</si>
  <si>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</si>
  <si>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</si>
  <si>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</si>
  <si>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</si>
  <si>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</si>
  <si>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</si>
  <si>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</si>
  <si>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</si>
  <si>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</si>
  <si>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</si>
  <si>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</si>
  <si>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</si>
  <si>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</si>
  <si>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</si>
  <si>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</si>
  <si>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</si>
  <si>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</si>
  <si>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</si>
  <si>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</si>
  <si>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</si>
  <si>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</si>
  <si>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</si>
  <si>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</si>
  <si>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</si>
  <si>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</si>
  <si>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</si>
  <si>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</si>
  <si>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</si>
  <si>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</si>
  <si>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</si>
  <si>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</si>
  <si>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</si>
  <si>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</si>
  <si>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</si>
  <si>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</si>
  <si>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</si>
  <si>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</si>
  <si>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</si>
  <si>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</si>
  <si>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</si>
  <si>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</si>
  <si>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</si>
  <si>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</si>
  <si>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</si>
  <si>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</si>
  <si>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</si>
  <si>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</si>
  <si>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</si>
  <si>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</si>
  <si>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</si>
  <si>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</si>
  <si>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</si>
  <si>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</si>
  <si>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</si>
  <si>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</si>
  <si>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</si>
  <si>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</si>
  <si>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</si>
  <si>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</si>
  <si>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</si>
  <si>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</si>
  <si>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</si>
  <si>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</si>
  <si>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</si>
  <si>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</si>
  <si>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</si>
  <si>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</si>
  <si>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</si>
  <si>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</si>
  <si>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</si>
  <si>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</si>
  <si>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</si>
  <si>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</si>
  <si>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</si>
  <si>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</si>
  <si>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</si>
  <si>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</si>
  <si>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</si>
  <si>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</si>
  <si>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</si>
  <si>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</si>
  <si>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</si>
  <si>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</si>
  <si>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</si>
  <si>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</si>
  <si>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</si>
  <si>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</si>
  <si>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</si>
  <si>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</si>
  <si>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</si>
  <si>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</si>
  <si>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</si>
  <si>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</si>
  <si>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</si>
  <si>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</si>
  <si>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</si>
  <si>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</si>
  <si>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</si>
  <si>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</si>
  <si>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</si>
  <si>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</si>
  <si>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</si>
  <si>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</si>
  <si>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</si>
  <si>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</si>
  <si>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</si>
  <si>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</si>
  <si>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</si>
  <si>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</si>
  <si>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</si>
  <si>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</si>
  <si>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</si>
  <si>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</si>
  <si>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</si>
  <si>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</si>
  <si>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</si>
  <si>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</si>
  <si>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</si>
  <si>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</si>
  <si>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</si>
  <si>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</si>
  <si>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</si>
  <si>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</si>
  <si>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</si>
  <si>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</si>
  <si>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</si>
  <si>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</si>
  <si>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</si>
  <si>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</si>
  <si>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</si>
  <si>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</si>
  <si>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</si>
  <si>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</si>
  <si>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</si>
  <si>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</si>
  <si>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</si>
  <si>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</si>
  <si>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</si>
  <si>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</si>
  <si>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</si>
  <si>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</si>
  <si>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</si>
  <si>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</si>
  <si>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</si>
  <si>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</si>
  <si>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</si>
  <si>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</si>
  <si>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</si>
  <si>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</si>
  <si>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</si>
  <si>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</si>
  <si>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</si>
  <si>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</si>
  <si>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</si>
  <si>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</si>
  <si>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</si>
  <si>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</si>
  <si>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</si>
  <si>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</si>
  <si>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</si>
  <si>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</si>
  <si>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</si>
  <si>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</si>
  <si>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</si>
  <si>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</si>
  <si>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</si>
  <si>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</si>
  <si>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</si>
  <si>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</si>
  <si>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</si>
  <si>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</si>
  <si>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</si>
  <si>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</si>
  <si>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</si>
  <si>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</si>
  <si>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</si>
  <si>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</si>
  <si>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</si>
  <si>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</si>
  <si>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</si>
  <si>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</si>
  <si>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</si>
  <si>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</si>
  <si>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</si>
  <si>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</si>
  <si>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</si>
  <si>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</si>
  <si>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</si>
  <si>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</si>
  <si>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</si>
  <si>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</si>
  <si>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</si>
  <si>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</si>
  <si>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</si>
  <si>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</si>
  <si>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</si>
  <si>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</si>
  <si>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</si>
  <si>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</si>
  <si>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</si>
  <si>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</si>
  <si>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</si>
  <si>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</si>
  <si>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</si>
  <si>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</si>
  <si>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</si>
  <si>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</si>
  <si>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</si>
  <si>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</si>
  <si>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</si>
  <si>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</si>
  <si>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</si>
  <si>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</si>
  <si>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</si>
  <si>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</si>
  <si>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</si>
  <si>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</si>
  <si>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</si>
  <si>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</si>
  <si>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</si>
  <si>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</si>
  <si>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</si>
  <si>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</si>
  <si>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</si>
  <si>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</si>
  <si>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</si>
  <si>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</si>
  <si>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</si>
  <si>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</si>
  <si>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</si>
  <si>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</si>
  <si>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</si>
  <si>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</si>
  <si>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</si>
  <si>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</si>
  <si>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</si>
  <si>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</si>
  <si>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</si>
  <si>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</si>
  <si>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</si>
  <si>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</si>
  <si>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</si>
  <si>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</si>
  <si>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</si>
  <si>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</si>
  <si>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</si>
  <si>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</si>
  <si>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</si>
  <si>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</si>
  <si>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</si>
  <si>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</si>
  <si>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</si>
  <si>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</si>
  <si>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</si>
  <si>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</si>
  <si>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</si>
  <si>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</si>
  <si>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</si>
  <si>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</si>
  <si>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</si>
  <si>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</si>
  <si>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</si>
  <si>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</si>
  <si>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</si>
  <si>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</si>
  <si>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</si>
  <si>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</si>
  <si>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</si>
  <si>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</si>
  <si>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</si>
  <si>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</si>
  <si>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</si>
  <si>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</si>
  <si>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</si>
  <si>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</si>
  <si>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</si>
  <si>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</si>
  <si>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</si>
  <si>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</si>
  <si>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</si>
  <si>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</si>
  <si>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</si>
  <si>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</si>
  <si>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</si>
  <si>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</si>
  <si>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</si>
  <si>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</si>
  <si>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</si>
  <si>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</si>
  <si>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</si>
  <si>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</si>
  <si>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</si>
  <si>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</si>
  <si>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</si>
  <si>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</si>
  <si>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</si>
  <si>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</si>
  <si>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</si>
  <si>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</si>
  <si>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</si>
  <si>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</si>
  <si>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</si>
  <si>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</si>
  <si>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</si>
  <si>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</si>
  <si>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</si>
  <si>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</si>
  <si>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</si>
  <si>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</si>
  <si>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</si>
  <si>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</si>
  <si>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</si>
  <si>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</si>
  <si>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</si>
  <si>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</si>
  <si>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</si>
  <si>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</si>
  <si>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</si>
  <si>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</si>
  <si>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</si>
  <si>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</si>
  <si>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</si>
  <si>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</si>
  <si>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</si>
  <si>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</si>
  <si>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</si>
  <si>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</si>
  <si>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</si>
  <si>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</si>
  <si>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</si>
  <si>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</si>
  <si>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</si>
  <si>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</si>
  <si>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</si>
  <si>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</si>
  <si>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</si>
  <si>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</si>
  <si>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</si>
  <si>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</si>
  <si>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</si>
  <si>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</si>
  <si>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</si>
  <si>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</si>
  <si>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</si>
  <si>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</si>
  <si>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</si>
  <si>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</si>
  <si>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</si>
  <si>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</si>
  <si>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</si>
  <si>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</si>
  <si>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</si>
  <si>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</si>
  <si>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</si>
  <si>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</si>
  <si>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</si>
  <si>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</si>
  <si>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</si>
  <si>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</si>
  <si>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</si>
  <si>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</si>
  <si>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</si>
  <si>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</si>
  <si>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</si>
  <si>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</si>
  <si>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</si>
  <si>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</si>
  <si>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</si>
  <si>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</si>
  <si>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</si>
  <si>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</si>
  <si>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</si>
  <si>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</si>
  <si>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</si>
  <si>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</si>
  <si>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</si>
  <si>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</si>
  <si>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</si>
  <si>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</si>
  <si>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</si>
  <si>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</si>
  <si>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</si>
  <si>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</si>
  <si>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</si>
  <si>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</si>
  <si>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</si>
  <si>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</si>
  <si>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</si>
  <si>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</si>
  <si>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</si>
  <si>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</si>
  <si>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</si>
  <si>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</si>
  <si>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</si>
  <si>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</si>
  <si>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</si>
  <si>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</si>
  <si>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</si>
  <si>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</si>
  <si>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</si>
  <si>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</si>
  <si>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</si>
  <si>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</si>
  <si>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</si>
  <si>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</si>
  <si>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</si>
  <si>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</si>
  <si>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</si>
  <si>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</si>
  <si>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</si>
  <si>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</si>
  <si>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</si>
  <si>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</si>
  <si>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</si>
  <si>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</si>
  <si>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</si>
  <si>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</si>
  <si>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</si>
  <si>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</si>
  <si>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</si>
  <si>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</si>
  <si>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</si>
  <si>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</si>
  <si>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</si>
  <si>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</si>
  <si>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</si>
  <si>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</si>
  <si>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</si>
  <si>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</si>
  <si>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</si>
  <si>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</si>
  <si>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</si>
  <si>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</si>
  <si>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</si>
  <si>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</si>
  <si>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</si>
  <si>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</si>
  <si>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</si>
  <si>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</si>
  <si>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</si>
  <si>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</si>
  <si>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</si>
  <si>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</si>
  <si>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</si>
  <si>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</si>
  <si>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</si>
  <si>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</si>
  <si>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</si>
  <si>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</si>
  <si>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</si>
  <si>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</si>
  <si>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</si>
  <si>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</si>
  <si>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</si>
  <si>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</si>
  <si>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</si>
  <si>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</si>
  <si>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</si>
  <si>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</si>
  <si>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</si>
  <si>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</si>
  <si>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</si>
  <si>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</si>
  <si>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</si>
  <si>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</si>
  <si>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</si>
  <si>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</si>
  <si>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</si>
  <si>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</si>
  <si>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</si>
  <si>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</si>
  <si>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</si>
  <si>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</si>
  <si>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</si>
  <si>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</si>
  <si>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</si>
  <si>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</si>
  <si>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</si>
  <si>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</si>
  <si>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</si>
  <si>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</si>
  <si>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</si>
  <si>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</si>
  <si>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</si>
  <si>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</si>
  <si>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</si>
  <si>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</si>
  <si>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</si>
  <si>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</si>
  <si>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</si>
  <si>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</si>
  <si>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</si>
  <si>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</si>
  <si>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</si>
  <si>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</si>
  <si>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</si>
  <si>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</si>
  <si>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</si>
  <si>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</si>
  <si>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</si>
  <si>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</si>
  <si>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</si>
  <si>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</si>
  <si>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</si>
  <si>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</si>
  <si>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</si>
  <si>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</si>
  <si>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</si>
  <si>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</si>
  <si>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</si>
  <si>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</si>
  <si>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</si>
  <si>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</si>
  <si>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</si>
  <si>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</si>
  <si>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</si>
  <si>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</si>
  <si>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</si>
  <si>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</si>
  <si>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</si>
  <si>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</si>
  <si>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</si>
  <si>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</si>
  <si>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</si>
  <si>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</si>
  <si>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</si>
  <si>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</si>
  <si>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</si>
  <si>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</si>
  <si>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</si>
  <si>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</si>
  <si>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</si>
  <si>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</si>
  <si>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</si>
  <si>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</si>
  <si>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</si>
  <si>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</si>
  <si>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</si>
  <si>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</si>
  <si>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</si>
  <si>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</si>
  <si>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</si>
  <si>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</si>
  <si>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</si>
  <si>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</si>
  <si>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</si>
  <si>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</si>
  <si>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</si>
  <si>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</si>
  <si>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</si>
  <si>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</si>
  <si>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</si>
  <si>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</si>
  <si>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</si>
  <si>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</si>
  <si>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</si>
  <si>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</si>
  <si>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</si>
  <si>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</si>
  <si>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</si>
  <si>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</si>
  <si>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</si>
  <si>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</si>
  <si>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</si>
  <si>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</si>
  <si>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</si>
  <si>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</si>
  <si>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</si>
  <si>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</si>
  <si>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</si>
  <si>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</si>
  <si>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</si>
  <si>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</si>
  <si>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</si>
  <si>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</si>
  <si>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</si>
  <si>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</si>
  <si>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</si>
  <si>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</si>
  <si>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</si>
  <si>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</si>
  <si>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</si>
  <si>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</si>
  <si>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</si>
  <si>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</si>
  <si>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</si>
  <si>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</si>
  <si>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</si>
  <si>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</si>
  <si>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</si>
  <si>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</si>
  <si>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</si>
  <si>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</si>
  <si>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</si>
  <si>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</si>
  <si>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</si>
  <si>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</si>
  <si>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</si>
  <si>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</si>
  <si>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</si>
  <si>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</si>
  <si>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</si>
  <si>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</si>
  <si>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</si>
  <si>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</si>
  <si>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</si>
  <si>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</si>
  <si>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</si>
  <si>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</si>
  <si>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</si>
  <si>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</si>
  <si>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</si>
  <si>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</si>
  <si>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</si>
  <si>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</si>
  <si>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</si>
  <si>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</si>
  <si>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</si>
  <si>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</si>
  <si>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</si>
  <si>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</si>
  <si>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</si>
  <si>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</si>
  <si>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</si>
  <si>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</si>
  <si>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</si>
  <si>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</si>
  <si>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</si>
  <si>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</si>
  <si>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</si>
  <si>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</si>
  <si>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</si>
  <si>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</si>
  <si>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</si>
  <si>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</si>
  <si>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</si>
  <si>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</si>
  <si>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</si>
  <si>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</si>
  <si>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</si>
  <si>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</si>
  <si>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</si>
  <si>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</si>
  <si>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</si>
  <si>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</si>
  <si>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</si>
  <si>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</si>
  <si>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</si>
  <si>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</si>
  <si>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</si>
  <si>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</si>
  <si>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</si>
  <si>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</si>
  <si>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</si>
  <si>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</si>
  <si>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</si>
  <si>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</si>
  <si>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</si>
  <si>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</si>
  <si>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</si>
  <si>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</si>
  <si>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</si>
  <si>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</si>
  <si>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</si>
  <si>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</si>
  <si>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</si>
  <si>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</si>
  <si>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</si>
  <si>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</si>
  <si>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</si>
  <si>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</si>
  <si>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</si>
  <si>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</si>
  <si>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</si>
  <si>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</si>
  <si>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</si>
  <si>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</si>
  <si>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</si>
  <si>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</si>
  <si>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</si>
  <si>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</si>
  <si>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</si>
  <si>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</si>
  <si>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</si>
  <si>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</si>
  <si>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</si>
  <si>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</si>
  <si>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</si>
  <si>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</si>
  <si>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</si>
  <si>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</si>
  <si>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</si>
  <si>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</si>
  <si>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</si>
  <si>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</si>
  <si>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</si>
  <si>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</si>
  <si>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</si>
  <si>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</si>
  <si>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</si>
  <si>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</si>
  <si>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</si>
  <si>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</si>
  <si>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</si>
  <si>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</si>
  <si>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</si>
  <si>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</si>
  <si>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</si>
  <si>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</si>
  <si>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</si>
  <si>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</si>
  <si>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</si>
  <si>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</si>
  <si>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</si>
  <si>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</si>
  <si>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</si>
  <si>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</si>
  <si>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</si>
  <si>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</si>
  <si>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</si>
  <si>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</si>
  <si>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</si>
  <si>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</si>
  <si>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</si>
  <si>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</si>
  <si>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</si>
  <si>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</si>
  <si>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</si>
  <si>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</si>
  <si>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</si>
  <si>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</si>
  <si>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</si>
  <si>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</si>
  <si>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</si>
  <si>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</si>
  <si>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</si>
  <si>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</si>
  <si>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</si>
  <si>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</si>
  <si>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</si>
  <si>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</si>
  <si>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</si>
  <si>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</si>
  <si>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</si>
  <si>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</si>
  <si>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</si>
  <si>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</si>
  <si>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</si>
  <si>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</si>
  <si>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</si>
  <si>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</si>
  <si>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</si>
  <si>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</si>
  <si>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</si>
  <si>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</si>
  <si>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</si>
  <si>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</si>
  <si>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</si>
  <si>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</si>
  <si>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</si>
  <si>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</si>
  <si>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</si>
  <si>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</si>
  <si>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</si>
  <si>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</si>
  <si>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</si>
  <si>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</si>
  <si>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</si>
  <si>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</si>
  <si>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</si>
  <si>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</si>
  <si>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</si>
  <si>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</si>
  <si>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</si>
  <si>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</si>
  <si>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</si>
  <si>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</si>
  <si>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</si>
  <si>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</si>
  <si>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</si>
  <si>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</si>
  <si>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</si>
  <si>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</si>
  <si>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</si>
  <si>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</si>
  <si>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</si>
  <si>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</si>
  <si>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</si>
  <si>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</si>
  <si>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</si>
  <si>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</si>
  <si>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</si>
  <si>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</si>
  <si>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</si>
  <si>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</si>
  <si>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</si>
  <si>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</si>
  <si>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</si>
  <si>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</si>
  <si>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</si>
  <si>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</si>
  <si>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</si>
  <si>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</si>
  <si>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</si>
  <si>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</si>
  <si>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</si>
  <si>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</si>
  <si>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</si>
  <si>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</si>
  <si>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</si>
  <si>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</si>
  <si>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</si>
  <si>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</si>
  <si>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</si>
  <si>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</si>
  <si>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</si>
  <si>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</si>
  <si>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</si>
  <si>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</si>
  <si>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</si>
  <si>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</si>
  <si>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</si>
  <si>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</si>
  <si>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</si>
  <si>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</si>
  <si>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</si>
  <si>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</si>
  <si>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</si>
  <si>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</si>
  <si>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</si>
  <si>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</si>
  <si>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</si>
  <si>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</si>
  <si>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</si>
  <si>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</si>
  <si>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</si>
  <si>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</si>
  <si>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</si>
  <si>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</si>
  <si>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</si>
  <si>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</si>
  <si>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</si>
  <si>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</si>
  <si>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</si>
  <si>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</si>
  <si>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</si>
  <si>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</si>
  <si>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</si>
  <si>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</si>
  <si>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</si>
  <si>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</si>
  <si>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</si>
  <si>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</si>
  <si>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</si>
  <si>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</si>
  <si>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</si>
  <si>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</si>
  <si>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</si>
  <si>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</si>
  <si>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</si>
  <si>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</si>
  <si>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</si>
  <si>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</si>
  <si>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</si>
  <si>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</si>
  <si>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</si>
  <si>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</si>
  <si>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</si>
  <si>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</si>
  <si>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</si>
  <si>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</si>
  <si>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</si>
  <si>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</si>
  <si>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</si>
  <si>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</si>
  <si>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</si>
  <si>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</si>
  <si>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</si>
  <si>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</si>
  <si>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</si>
  <si>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</si>
  <si>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</si>
  <si>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</si>
  <si>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</si>
  <si>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</si>
  <si>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</si>
  <si>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</si>
  <si>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</si>
  <si>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</si>
  <si>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</si>
  <si>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</si>
  <si>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</si>
  <si>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</si>
  <si>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</si>
  <si>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</si>
  <si>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</si>
  <si>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</si>
  <si>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</si>
  <si>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</si>
  <si>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</si>
  <si>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</si>
  <si>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</si>
  <si>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</si>
  <si>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</si>
  <si>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</si>
  <si>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</si>
  <si>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</si>
  <si>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</si>
  <si>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</si>
  <si>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</si>
  <si>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</si>
  <si>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</si>
  <si>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</si>
  <si>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</si>
  <si>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</si>
  <si>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</si>
  <si>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</si>
  <si>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</si>
  <si>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</si>
  <si>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</si>
  <si>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</si>
  <si>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</si>
  <si>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</si>
  <si>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</si>
  <si>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</si>
  <si>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</si>
  <si>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</si>
  <si>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</si>
  <si>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</si>
  <si>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</si>
  <si>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</si>
  <si>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</si>
  <si>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</si>
  <si>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</si>
  <si>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</si>
  <si>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</si>
  <si>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</si>
  <si>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</si>
  <si>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</si>
  <si>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</si>
  <si>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</si>
  <si>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</si>
  <si>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</si>
  <si>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</si>
  <si>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</si>
  <si>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</si>
  <si>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</si>
  <si>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</si>
  <si>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</si>
  <si>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</si>
  <si>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</si>
  <si>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</si>
  <si>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</si>
  <si>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</si>
  <si>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</si>
  <si>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</si>
  <si>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</si>
  <si>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</si>
  <si>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</si>
  <si>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</si>
  <si>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</si>
  <si>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</si>
  <si>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</si>
  <si>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</si>
  <si>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</si>
  <si>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</si>
  <si>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</si>
  <si>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</si>
  <si>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</si>
  <si>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</si>
  <si>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</si>
  <si>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</si>
  <si>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</si>
  <si>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</si>
  <si>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</si>
  <si>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</si>
  <si>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</si>
  <si>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</si>
  <si>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</si>
  <si>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</si>
  <si>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</si>
  <si>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</si>
  <si>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</si>
  <si>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</si>
  <si>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</si>
  <si>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</si>
  <si>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</si>
  <si>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</si>
  <si>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</si>
  <si>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</si>
  <si>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</si>
  <si>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</si>
  <si>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</si>
  <si>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</si>
  <si>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</si>
  <si>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</si>
  <si>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</si>
  <si>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</si>
  <si>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</si>
  <si>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</si>
  <si>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</si>
  <si>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</si>
  <si>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</si>
  <si>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</si>
  <si>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</si>
  <si>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</si>
  <si>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</si>
  <si>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</si>
  <si>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</si>
  <si>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</si>
  <si>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</si>
  <si>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</si>
  <si>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</si>
  <si>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</si>
  <si>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</si>
  <si>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</si>
  <si>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</si>
  <si>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</si>
  <si>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</si>
  <si>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</si>
  <si>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</si>
  <si>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</si>
  <si>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</si>
  <si>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</si>
  <si>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</si>
  <si>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</si>
  <si>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</si>
  <si>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</si>
  <si>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</si>
  <si>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</si>
  <si>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</si>
  <si>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</si>
  <si>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</si>
  <si>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</si>
  <si>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</si>
  <si>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</si>
  <si>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</si>
  <si>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</si>
  <si>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</si>
  <si>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</si>
  <si>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</si>
  <si>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</si>
  <si>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</si>
  <si>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</si>
  <si>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</si>
  <si>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</si>
  <si>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</si>
  <si>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</si>
  <si>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</si>
  <si>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</si>
  <si>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</si>
  <si>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</si>
  <si>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</si>
  <si>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</si>
  <si>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</si>
  <si>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</si>
  <si>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</si>
  <si>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</si>
  <si>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</si>
  <si>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</si>
  <si>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</si>
  <si>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</si>
  <si>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</si>
  <si>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</si>
  <si>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</si>
  <si>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</si>
  <si>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</si>
  <si>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</si>
  <si>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</si>
  <si>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</si>
  <si>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</si>
  <si>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</si>
  <si>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</si>
  <si>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</si>
  <si>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</si>
  <si>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</si>
  <si>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</si>
  <si>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</si>
  <si>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</si>
  <si>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</si>
  <si>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</si>
  <si>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</si>
  <si>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</si>
  <si>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</si>
  <si>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</si>
  <si>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</si>
  <si>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</si>
  <si>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</si>
  <si>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</si>
  <si>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</si>
  <si>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</si>
  <si>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</si>
  <si>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</si>
  <si>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</si>
  <si>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</si>
  <si>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</si>
  <si>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</si>
  <si>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</si>
  <si>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</si>
  <si>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</si>
  <si>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</si>
  <si>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</si>
  <si>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</si>
  <si>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</si>
  <si>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</si>
  <si>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</si>
  <si>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</si>
  <si>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</si>
  <si>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</si>
  <si>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</si>
  <si>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</si>
  <si>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</si>
  <si>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</si>
  <si>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</si>
  <si>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</si>
  <si>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</si>
  <si>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</si>
  <si>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</si>
  <si>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</si>
  <si>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</si>
  <si>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</si>
  <si>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</si>
  <si>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</si>
  <si>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</si>
  <si>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</si>
  <si>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</si>
  <si>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</si>
  <si>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</si>
  <si>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</si>
  <si>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</si>
  <si>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</si>
  <si>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</si>
  <si>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</si>
  <si>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</si>
  <si>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</si>
  <si>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</si>
  <si>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</si>
  <si>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</si>
  <si>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</si>
  <si>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</si>
  <si>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</si>
  <si>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</si>
  <si>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</si>
  <si>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</si>
  <si>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</si>
  <si>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</si>
  <si>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</si>
  <si>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</si>
  <si>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</si>
  <si>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</si>
  <si>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</si>
  <si>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</si>
  <si>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</si>
  <si>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</si>
  <si>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</si>
  <si>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</si>
  <si>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</si>
  <si>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</si>
  <si>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</si>
  <si>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</si>
  <si>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</si>
  <si>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</si>
  <si>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</si>
  <si>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</si>
  <si>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</si>
  <si>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</si>
  <si>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</si>
  <si>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</si>
  <si>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</si>
  <si>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</si>
  <si>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</si>
  <si>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</si>
  <si>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</si>
  <si>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</si>
  <si>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</si>
  <si>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</si>
  <si>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</si>
  <si>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</si>
  <si>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</si>
  <si>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</si>
  <si>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</si>
  <si>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</si>
  <si>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</si>
  <si>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</si>
  <si>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</si>
  <si>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</si>
  <si>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</si>
  <si>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</si>
  <si>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</si>
  <si>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</si>
  <si>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</si>
  <si>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</si>
  <si>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</si>
  <si>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</si>
  <si>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</si>
  <si>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</si>
  <si>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</si>
  <si>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</si>
  <si>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</si>
  <si>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</si>
  <si>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</si>
  <si>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</si>
  <si>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</si>
  <si>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</si>
  <si>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</si>
  <si>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</si>
  <si>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</si>
  <si>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</si>
  <si>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</si>
  <si>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</si>
  <si>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</si>
  <si>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</si>
  <si>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</si>
  <si>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</si>
  <si>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</si>
  <si>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</si>
  <si>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</si>
  <si>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</si>
  <si>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</si>
  <si>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</si>
  <si>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</si>
  <si>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</si>
  <si>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</si>
  <si>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</si>
  <si>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</si>
  <si>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</si>
  <si>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</si>
  <si>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</si>
  <si>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</si>
  <si>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</si>
  <si>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</si>
  <si>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</si>
  <si>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</si>
  <si>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</si>
  <si>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</si>
  <si>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</si>
  <si>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</si>
  <si>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</si>
  <si>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</si>
  <si>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</si>
  <si>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</si>
  <si>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</si>
  <si>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</si>
  <si>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</si>
  <si>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</si>
  <si>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</si>
  <si>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</si>
  <si>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</si>
  <si>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</si>
  <si>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</si>
  <si>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</si>
  <si>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</si>
  <si>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</si>
  <si>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</si>
  <si>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</si>
  <si>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</si>
  <si>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</si>
  <si>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</si>
  <si>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</si>
  <si>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</si>
  <si>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</si>
  <si>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</si>
  <si>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</si>
  <si>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</si>
  <si>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</si>
  <si>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</si>
  <si>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</si>
  <si>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</si>
  <si>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</si>
  <si>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</si>
  <si>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</si>
  <si>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</si>
  <si>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</si>
  <si>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</si>
  <si>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</si>
  <si>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</si>
  <si>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</si>
  <si>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</si>
  <si>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</si>
  <si>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</si>
  <si>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</si>
  <si>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</si>
  <si>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</si>
  <si>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</si>
  <si>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</si>
  <si>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</si>
  <si>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</si>
  <si>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</si>
  <si>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</si>
  <si>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</si>
  <si>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</si>
  <si>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</si>
  <si>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</si>
  <si>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</si>
  <si>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</si>
  <si>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</si>
  <si>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</si>
  <si>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</si>
  <si>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</si>
  <si>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</si>
  <si>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</si>
  <si>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</si>
  <si>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</si>
  <si>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</si>
  <si>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</si>
  <si>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</si>
  <si>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</si>
  <si>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</si>
  <si>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</si>
  <si>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</si>
  <si>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</si>
  <si>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</si>
  <si>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</si>
  <si>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</si>
  <si>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</si>
  <si>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</si>
  <si>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</si>
  <si>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</si>
  <si>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</si>
  <si>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</si>
  <si>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</si>
  <si>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</si>
  <si>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</si>
  <si>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</si>
  <si>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</si>
  <si>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</si>
  <si>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</si>
  <si>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</si>
  <si>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</si>
  <si>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</si>
  <si>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</si>
  <si>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</si>
  <si>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</si>
  <si>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</si>
  <si>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</si>
  <si>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</si>
  <si>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</si>
  <si>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</si>
  <si>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</si>
  <si>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</si>
  <si>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</si>
  <si>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</si>
  <si>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</si>
  <si>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</si>
  <si>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</si>
  <si>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</si>
  <si>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</si>
  <si>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</si>
  <si>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</si>
  <si>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</si>
  <si>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</si>
  <si>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</si>
  <si>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</si>
  <si>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</si>
  <si>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</si>
  <si>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</si>
  <si>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</si>
  <si>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</si>
  <si>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</si>
  <si>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</si>
  <si>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</si>
  <si>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</si>
  <si>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</si>
  <si>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</si>
  <si>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</si>
  <si>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</si>
  <si>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</si>
  <si>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</si>
  <si>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</si>
  <si>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</si>
  <si>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</si>
  <si>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</si>
  <si>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</si>
  <si>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</si>
  <si>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</si>
  <si>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</si>
  <si>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</si>
  <si>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</si>
  <si>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</si>
  <si>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</si>
  <si>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</si>
  <si>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</si>
  <si>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</si>
  <si>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</si>
  <si>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</si>
  <si>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</si>
  <si>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</si>
  <si>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</si>
  <si>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</si>
  <si>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</si>
  <si>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</si>
  <si>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</si>
  <si>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</si>
  <si>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</si>
  <si>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</si>
  <si>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</si>
  <si>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</si>
  <si>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</si>
  <si>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</si>
  <si>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</si>
  <si>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</si>
  <si>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</si>
  <si>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</si>
  <si>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</si>
  <si>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</si>
  <si>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</si>
  <si>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</si>
  <si>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</si>
  <si>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</si>
  <si>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</si>
  <si>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</si>
  <si>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</si>
  <si>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</si>
  <si>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</si>
  <si>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</si>
  <si>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</si>
  <si>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</si>
  <si>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</si>
  <si>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</si>
  <si>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</si>
  <si>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</si>
  <si>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</si>
  <si>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</si>
  <si>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</si>
  <si>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</si>
  <si>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</si>
  <si>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</si>
  <si>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</si>
  <si>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</si>
  <si>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</si>
  <si>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</si>
  <si>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</si>
  <si>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</si>
  <si>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</si>
  <si>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</si>
  <si>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</si>
  <si>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</si>
  <si>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</si>
  <si>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</si>
  <si>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</si>
  <si>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</si>
  <si>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</si>
  <si>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</si>
  <si>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</si>
  <si>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</si>
  <si>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</si>
  <si>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</si>
  <si>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</si>
  <si>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</si>
  <si>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</si>
  <si>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</si>
  <si>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</si>
  <si>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</si>
  <si>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</si>
  <si>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</si>
  <si>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</si>
  <si>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</si>
  <si>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</si>
  <si>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</si>
  <si>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</si>
  <si>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</si>
  <si>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</si>
  <si>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</si>
  <si>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</si>
  <si>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</si>
  <si>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</si>
  <si>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</si>
  <si>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</si>
  <si>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</si>
  <si>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</si>
  <si>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</si>
  <si>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</si>
  <si>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</si>
  <si>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</si>
  <si>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</si>
  <si>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</si>
  <si>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</si>
  <si>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</si>
  <si>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</si>
  <si>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</si>
  <si>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</si>
  <si>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</si>
  <si>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</si>
  <si>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</si>
  <si>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</si>
  <si>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</si>
  <si>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</si>
  <si>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</si>
  <si>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</si>
  <si>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</si>
  <si>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</si>
  <si>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</si>
  <si>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</si>
  <si>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</si>
  <si>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</si>
  <si>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</si>
  <si>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</si>
  <si>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</si>
  <si>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</si>
  <si>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</si>
  <si>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</si>
  <si>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</si>
  <si>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</si>
  <si>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</si>
  <si>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</si>
  <si>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</si>
  <si>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</si>
  <si>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</si>
  <si>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</si>
  <si>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</si>
  <si>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</si>
  <si>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</si>
  <si>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</si>
  <si>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</si>
  <si>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</si>
  <si>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</si>
  <si>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</si>
  <si>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</si>
  <si>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</si>
  <si>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</si>
  <si>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</si>
  <si>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</si>
  <si>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</si>
  <si>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</si>
  <si>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</si>
  <si>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</si>
  <si>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</si>
  <si>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</si>
  <si>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</si>
  <si>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</si>
  <si>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</si>
  <si>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</si>
  <si>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</si>
  <si>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</si>
  <si>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</si>
  <si>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</si>
  <si>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</si>
  <si>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</si>
  <si>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</si>
  <si>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</si>
  <si>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</si>
  <si>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</si>
  <si>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</si>
  <si>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</si>
  <si>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</si>
  <si>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</si>
  <si>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</si>
  <si>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</si>
  <si>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</si>
  <si>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</si>
  <si>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</si>
  <si>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</si>
  <si>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</si>
  <si>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</si>
  <si>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</si>
  <si>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</si>
  <si>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</si>
  <si>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</si>
  <si>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</si>
  <si>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</si>
  <si>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</si>
  <si>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</si>
  <si>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</si>
  <si>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</si>
  <si>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</si>
  <si>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</si>
  <si>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</si>
  <si>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</si>
  <si>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</si>
  <si>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</si>
  <si>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</si>
  <si>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</si>
  <si>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</si>
  <si>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</si>
  <si>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</si>
  <si>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</si>
  <si>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</si>
  <si>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</si>
  <si>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</si>
  <si>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</si>
  <si>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</si>
  <si>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</si>
  <si>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</si>
  <si>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</si>
  <si>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</si>
  <si>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</si>
  <si>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</si>
  <si>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</si>
  <si>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</si>
  <si>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</si>
  <si>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</si>
  <si>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</si>
  <si>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</si>
  <si>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</si>
  <si>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</si>
  <si>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</si>
  <si>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</si>
  <si>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</si>
  <si>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</si>
  <si>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</si>
  <si>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</si>
  <si>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</si>
  <si>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</si>
  <si>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</si>
  <si>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</si>
  <si>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</si>
  <si>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</si>
  <si>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</si>
  <si>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</si>
  <si>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</si>
  <si>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</si>
  <si>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</si>
  <si>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</si>
  <si>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</si>
  <si>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</si>
  <si>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</si>
  <si>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</si>
  <si>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</si>
  <si>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</si>
  <si>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</si>
  <si>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</si>
  <si>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</si>
  <si>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</si>
  <si>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</si>
  <si>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</si>
  <si>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</si>
  <si>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</si>
  <si>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</si>
  <si>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</si>
  <si>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</si>
  <si>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</si>
  <si>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</si>
  <si>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</si>
  <si>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</si>
  <si>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</si>
  <si>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</si>
  <si>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</si>
  <si>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</si>
  <si>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</si>
  <si>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</si>
  <si>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</si>
  <si>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</si>
  <si>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</si>
  <si>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</si>
  <si>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</si>
  <si>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</si>
  <si>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</si>
  <si>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</si>
  <si>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</si>
  <si>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</si>
  <si>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</si>
  <si>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</si>
  <si>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</si>
  <si>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</si>
  <si>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</si>
  <si>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</si>
  <si>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</si>
  <si>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</si>
  <si>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</si>
  <si>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</si>
  <si>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</si>
  <si>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</si>
  <si>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</si>
  <si>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</si>
  <si>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</si>
  <si>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</si>
  <si>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</si>
  <si>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</si>
  <si>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</si>
  <si>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</si>
  <si>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</si>
  <si>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</si>
  <si>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</si>
  <si>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</si>
  <si>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</si>
  <si>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</si>
  <si>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</si>
  <si>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</si>
  <si>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</si>
  <si>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</si>
  <si>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</si>
  <si>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</si>
  <si>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</si>
  <si>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</si>
  <si>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</si>
  <si>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</si>
  <si>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</si>
  <si>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</si>
  <si>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</si>
  <si>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</si>
  <si>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</si>
  <si>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</si>
  <si>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</si>
  <si>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</si>
  <si>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</si>
  <si>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</si>
  <si>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</si>
  <si>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</si>
  <si>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</si>
  <si>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</si>
  <si>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</si>
  <si>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</si>
  <si>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</si>
  <si>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</si>
  <si>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</si>
  <si>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</si>
  <si>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</si>
  <si>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</si>
  <si>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</si>
  <si>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</si>
  <si>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</si>
  <si>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</si>
  <si>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</si>
  <si>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</si>
  <si>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</si>
  <si>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</si>
  <si>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</si>
  <si>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</si>
  <si>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</si>
  <si>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</si>
  <si>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</si>
  <si>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</si>
  <si>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</si>
  <si>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</si>
  <si>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</si>
  <si>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</si>
  <si>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</si>
  <si>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</si>
  <si>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</si>
  <si>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</si>
  <si>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</si>
  <si>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</si>
  <si>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</si>
  <si>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</si>
  <si>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</si>
  <si>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</si>
  <si>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</si>
  <si>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</si>
  <si>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</si>
  <si>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</si>
  <si>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</si>
  <si>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</si>
  <si>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</si>
  <si>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</si>
  <si>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</si>
  <si>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</si>
  <si>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</si>
  <si>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</si>
  <si>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</si>
  <si>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</si>
  <si>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</si>
  <si>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</si>
  <si>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</si>
  <si>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</si>
  <si>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</si>
  <si>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</si>
  <si>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</si>
  <si>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</si>
  <si>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</si>
  <si>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</si>
  <si>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</si>
  <si>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</si>
  <si>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</si>
  <si>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</si>
  <si>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</si>
  <si>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</si>
  <si>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</si>
  <si>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</si>
  <si>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</si>
  <si>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</si>
  <si>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</si>
  <si>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</si>
  <si>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</si>
  <si>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</si>
  <si>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</si>
  <si>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</si>
  <si>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</si>
  <si>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</si>
  <si>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</si>
  <si>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</si>
  <si>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</si>
  <si>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</si>
  <si>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</si>
  <si>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</si>
  <si>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</si>
  <si>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</si>
  <si>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</si>
  <si>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</si>
  <si>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</si>
  <si>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</si>
  <si>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</si>
  <si>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</si>
  <si>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</si>
  <si>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</si>
  <si>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</si>
  <si>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</si>
  <si>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</si>
  <si>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</si>
  <si>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</si>
  <si>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</si>
  <si>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</si>
  <si>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</si>
  <si>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</si>
  <si>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</si>
  <si>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</si>
  <si>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</si>
  <si>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</si>
  <si>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</si>
  <si>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</si>
  <si>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</si>
  <si>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</si>
  <si>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</si>
  <si>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</si>
  <si>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</si>
  <si>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</si>
  <si>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</si>
  <si>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</si>
  <si>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</si>
  <si>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</si>
  <si>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</si>
  <si>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</si>
  <si>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</si>
  <si>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</si>
  <si>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</si>
  <si>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</si>
  <si>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</si>
  <si>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</si>
  <si>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</si>
  <si>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</si>
  <si>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</si>
  <si>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</si>
  <si>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</si>
  <si>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</si>
  <si>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</si>
  <si>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</si>
  <si>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</si>
  <si>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</si>
  <si>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</si>
  <si>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</si>
  <si>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</si>
  <si>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</si>
  <si>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</si>
  <si>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</si>
  <si>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</si>
  <si>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</si>
  <si>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</si>
  <si>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</si>
  <si>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</si>
  <si>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</si>
  <si>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</si>
  <si>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</si>
  <si>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</si>
  <si>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</si>
  <si>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</si>
  <si>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</si>
  <si>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</si>
  <si>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</si>
  <si>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</si>
  <si>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</si>
  <si>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</si>
  <si>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</si>
  <si>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</si>
  <si>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</si>
  <si>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</si>
  <si>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</si>
  <si>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</si>
  <si>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</si>
  <si>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</si>
  <si>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</si>
  <si>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</si>
  <si>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</si>
  <si>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</si>
  <si>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</si>
  <si>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</si>
  <si>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</si>
  <si>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</si>
  <si>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</si>
  <si>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</si>
  <si>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</si>
  <si>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</si>
  <si>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</si>
  <si>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</si>
  <si>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</si>
  <si>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</si>
  <si>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</si>
  <si>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</si>
  <si>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</si>
  <si>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</si>
  <si>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</si>
  <si>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</si>
  <si>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</si>
  <si>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</si>
  <si>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</si>
  <si>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</si>
  <si>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</si>
  <si>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</si>
  <si>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</si>
  <si>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</si>
  <si>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</si>
  <si>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</si>
  <si>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</si>
  <si>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</si>
  <si>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</si>
  <si>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</si>
  <si>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</si>
  <si>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</si>
  <si>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</si>
  <si>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</si>
  <si>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</si>
  <si>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</si>
  <si>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</si>
  <si>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</si>
  <si>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</si>
  <si>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</si>
  <si>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</si>
  <si>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</si>
  <si>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</si>
  <si>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</si>
  <si>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</si>
  <si>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</si>
  <si>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</si>
  <si>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</si>
  <si>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</si>
  <si>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</si>
  <si>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</si>
  <si>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</si>
  <si>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</si>
  <si>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</si>
  <si>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</si>
  <si>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</si>
  <si>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</si>
  <si>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</si>
  <si>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</si>
  <si>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</si>
  <si>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</si>
  <si>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</si>
  <si>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</si>
  <si>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</si>
  <si>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</si>
  <si>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</si>
  <si>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</si>
  <si>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</si>
  <si>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</si>
  <si>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</si>
  <si>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</si>
  <si>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</si>
  <si>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</si>
  <si>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</si>
  <si>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</si>
  <si>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</si>
  <si>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</si>
  <si>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</si>
  <si>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</si>
  <si>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</si>
  <si>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</si>
  <si>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</si>
  <si>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</si>
  <si>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</si>
  <si>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</si>
  <si>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</si>
  <si>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</si>
  <si>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</si>
  <si>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</si>
  <si>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</si>
  <si>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</si>
  <si>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</si>
  <si>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</si>
  <si>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</si>
  <si>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</si>
  <si>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</si>
  <si>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</si>
  <si>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</si>
  <si>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</si>
  <si>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</si>
  <si>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</si>
  <si>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</si>
  <si>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</si>
  <si>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</si>
  <si>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</si>
  <si>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</si>
  <si>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</si>
  <si>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</si>
  <si>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</si>
  <si>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</si>
  <si>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</si>
  <si>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</si>
  <si>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</si>
  <si>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</si>
  <si>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</si>
  <si>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</si>
  <si>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</si>
  <si>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</si>
  <si>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</si>
  <si>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</si>
  <si>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</si>
  <si>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</si>
  <si>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</si>
  <si>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</si>
  <si>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</si>
  <si>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</si>
  <si>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</si>
  <si>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</si>
  <si>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</si>
  <si>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</si>
  <si>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</si>
  <si>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</si>
  <si>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</si>
  <si>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</si>
  <si>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</si>
  <si>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</si>
  <si>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</si>
  <si>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</si>
  <si>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</si>
  <si>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</si>
  <si>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</si>
  <si>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</si>
  <si>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</si>
  <si>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</si>
  <si>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</si>
  <si>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</si>
  <si>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</si>
  <si>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</si>
  <si>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</si>
  <si>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</si>
  <si>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</si>
  <si>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</si>
  <si>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</si>
  <si>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</si>
  <si>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</si>
  <si>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</si>
  <si>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</si>
  <si>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</si>
  <si>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</si>
  <si>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</si>
  <si>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</si>
  <si>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</si>
  <si>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</si>
  <si>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</si>
  <si>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</si>
  <si>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</si>
  <si>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</si>
  <si>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</si>
  <si>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</si>
  <si>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</si>
  <si>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</si>
  <si>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</si>
  <si>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</si>
  <si>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</si>
  <si>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</si>
  <si>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</si>
  <si>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</si>
  <si>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</si>
  <si>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</si>
  <si>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</si>
  <si>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</si>
  <si>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</si>
  <si>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</si>
  <si>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</si>
  <si>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</si>
  <si>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</si>
  <si>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</si>
  <si>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</si>
  <si>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</si>
  <si>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</si>
  <si>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</si>
  <si>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</si>
  <si>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</si>
  <si>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</si>
  <si>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</si>
  <si>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</si>
  <si>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</si>
  <si>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</si>
  <si>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</si>
  <si>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</si>
  <si>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</si>
  <si>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</si>
  <si>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</si>
  <si>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</si>
  <si>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</si>
  <si>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</si>
  <si>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</si>
  <si>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</si>
  <si>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</si>
  <si>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</si>
  <si>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</si>
  <si>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</si>
  <si>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</si>
  <si>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</si>
  <si>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</si>
  <si>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</si>
  <si>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</si>
  <si>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</si>
  <si>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</si>
  <si>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</si>
  <si>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</si>
  <si>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</si>
  <si>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</si>
  <si>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</si>
  <si>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</si>
  <si>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</si>
  <si>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</si>
  <si>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</si>
  <si>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</si>
  <si>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</si>
  <si>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</si>
  <si>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</si>
  <si>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</si>
  <si>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</si>
  <si>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</si>
  <si>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</si>
  <si>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</si>
  <si>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</si>
  <si>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</si>
  <si>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</si>
  <si>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</si>
  <si>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</si>
  <si>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</si>
  <si>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</si>
  <si>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</si>
  <si>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</si>
  <si>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</si>
  <si>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</si>
  <si>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</si>
  <si>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</si>
  <si>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</si>
  <si>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</si>
  <si>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</si>
  <si>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</si>
  <si>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</si>
  <si>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</si>
  <si>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</si>
  <si>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</si>
  <si>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</si>
  <si>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</si>
  <si>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</si>
  <si>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</si>
  <si>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</si>
  <si>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</si>
  <si>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</si>
  <si>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</si>
  <si>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</si>
  <si>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</si>
  <si>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</si>
  <si>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</si>
  <si>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</si>
  <si>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</si>
  <si>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</si>
  <si>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</si>
  <si>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</si>
  <si>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</si>
  <si>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</si>
  <si>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</si>
  <si>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</si>
  <si>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</si>
  <si>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</si>
  <si>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</si>
  <si>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</si>
  <si>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</si>
  <si>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</si>
  <si>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</si>
  <si>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</si>
  <si>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</si>
  <si>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</si>
  <si>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</si>
  <si>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</si>
  <si>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</si>
  <si>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</si>
  <si>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</si>
  <si>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</si>
  <si>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</si>
  <si>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</si>
  <si>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</si>
  <si>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</si>
  <si>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</si>
  <si>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</si>
  <si>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</si>
  <si>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</si>
  <si>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</si>
  <si>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</si>
  <si>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</si>
  <si>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</si>
  <si>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</si>
  <si>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</si>
  <si>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</si>
  <si>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</si>
  <si>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</si>
  <si>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</si>
  <si>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</si>
  <si>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</si>
  <si>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</si>
  <si>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</si>
  <si>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</si>
  <si>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</si>
  <si>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</si>
  <si>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</si>
  <si>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</si>
  <si>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</si>
  <si>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</si>
  <si>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</si>
  <si>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</si>
  <si>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</si>
  <si>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</si>
  <si>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</si>
  <si>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</si>
  <si>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</si>
  <si>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</si>
  <si>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</si>
  <si>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</si>
  <si>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</si>
  <si>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</si>
  <si>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</si>
  <si>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</si>
  <si>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</si>
  <si>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</si>
  <si>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</si>
  <si>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</si>
  <si>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</si>
  <si>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</si>
  <si>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</si>
  <si>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</si>
  <si>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</si>
  <si>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</si>
  <si>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</si>
  <si>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</si>
  <si>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</si>
  <si>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</si>
  <si>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</si>
  <si>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</si>
  <si>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</si>
  <si>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</si>
  <si>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</si>
  <si>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</si>
  <si>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</si>
  <si>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</si>
  <si>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</si>
  <si>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</si>
  <si>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</si>
  <si>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</si>
  <si>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</si>
  <si>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</si>
  <si>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</si>
  <si>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</si>
  <si>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</si>
  <si>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</si>
  <si>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</si>
  <si>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</si>
  <si>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</si>
  <si>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</si>
  <si>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</si>
  <si>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</si>
  <si>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</si>
  <si>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</si>
  <si>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</si>
  <si>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</si>
  <si>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</si>
  <si>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</si>
  <si>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</si>
  <si>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</si>
  <si>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</si>
  <si>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</si>
  <si>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</si>
  <si>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</si>
  <si>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</si>
  <si>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</si>
  <si>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</si>
  <si>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</si>
  <si>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</si>
  <si>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</si>
  <si>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</si>
  <si>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</si>
  <si>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</si>
  <si>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</si>
  <si>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</si>
  <si>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</si>
  <si>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</si>
  <si>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</si>
  <si>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</si>
  <si>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</si>
  <si>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</si>
  <si>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</si>
  <si>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</si>
  <si>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</si>
  <si>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</si>
  <si>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</si>
  <si>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</si>
  <si>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</si>
  <si>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</si>
  <si>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</si>
  <si>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</si>
  <si>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</si>
  <si>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</si>
  <si>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</si>
  <si>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</si>
  <si>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</si>
  <si>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</si>
  <si>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</si>
  <si>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</si>
  <si>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</si>
  <si>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</si>
  <si>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</si>
  <si>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</si>
  <si>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</si>
  <si>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</si>
  <si>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</si>
  <si>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</si>
  <si>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</si>
  <si>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</si>
  <si>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</si>
  <si>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</si>
  <si>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</si>
  <si>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</si>
  <si>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</si>
  <si>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</si>
  <si>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</si>
  <si>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</si>
  <si>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</si>
  <si>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</si>
  <si>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</si>
  <si>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</si>
  <si>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</si>
  <si>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</si>
  <si>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</si>
  <si>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</si>
  <si>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</si>
  <si>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</si>
  <si>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</si>
  <si>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</si>
  <si>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</si>
  <si>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</si>
  <si>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</si>
  <si>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</si>
  <si>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</si>
  <si>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</si>
  <si>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</si>
  <si>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</si>
  <si>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</si>
  <si>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</si>
  <si>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</si>
  <si>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</si>
  <si>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</si>
  <si>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</si>
  <si>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</si>
  <si>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</si>
  <si>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</si>
  <si>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</si>
  <si>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</si>
  <si>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</si>
  <si>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</si>
  <si>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</si>
  <si>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</si>
  <si>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</si>
  <si>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</si>
  <si>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</si>
  <si>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</si>
  <si>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</si>
  <si>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</si>
  <si>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</si>
  <si>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</si>
  <si>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</si>
  <si>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</si>
  <si>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</si>
  <si>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</si>
  <si>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</si>
  <si>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</si>
  <si>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</si>
  <si>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</si>
  <si>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</si>
  <si>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</si>
  <si>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</si>
  <si>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</si>
  <si>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</si>
  <si>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</si>
  <si>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</si>
  <si>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</si>
  <si>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</si>
  <si>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</si>
  <si>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</si>
  <si>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</si>
  <si>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</si>
  <si>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</si>
  <si>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</si>
  <si>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</si>
  <si>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</si>
  <si>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</si>
  <si>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</si>
  <si>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</si>
  <si>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</si>
  <si>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</si>
  <si>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</si>
  <si>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</si>
  <si>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</si>
  <si>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</si>
  <si>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</si>
  <si>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</si>
  <si>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</si>
  <si>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</si>
  <si>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</si>
  <si>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</si>
  <si>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</si>
  <si>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</si>
  <si>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</si>
  <si>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</si>
  <si>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</si>
  <si>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</si>
  <si>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</si>
  <si>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</si>
  <si>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</si>
  <si>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</si>
  <si>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</si>
  <si>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</si>
  <si>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</si>
  <si>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</si>
  <si>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</si>
  <si>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</si>
  <si>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</si>
  <si>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</si>
  <si>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</si>
  <si>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</si>
  <si>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</si>
  <si>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</si>
  <si>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</si>
  <si>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</si>
  <si>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</si>
  <si>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</si>
  <si>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</si>
  <si>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</si>
  <si>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</si>
  <si>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</si>
  <si>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</si>
  <si>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</si>
  <si>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</si>
  <si>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</si>
  <si>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</si>
  <si>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</si>
  <si>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</si>
  <si>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</si>
  <si>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</si>
  <si>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</si>
  <si>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</si>
  <si>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</si>
  <si>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</si>
  <si>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</si>
  <si>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</si>
  <si>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</si>
  <si>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</si>
  <si>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</si>
  <si>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</si>
  <si>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</si>
  <si>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</si>
  <si>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</si>
  <si>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</si>
  <si>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</si>
  <si>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</si>
  <si>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</si>
  <si>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</si>
  <si>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</si>
  <si>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</si>
  <si>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</si>
  <si>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</si>
  <si>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</si>
  <si>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</si>
  <si>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</si>
  <si>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</si>
  <si>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</si>
  <si>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</si>
  <si>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</si>
  <si>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</si>
  <si>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</si>
  <si>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</si>
  <si>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</si>
  <si>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</si>
  <si>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</si>
  <si>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</si>
  <si>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</si>
  <si>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</si>
  <si>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</si>
  <si>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</si>
  <si>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</si>
  <si>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</si>
  <si>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</si>
  <si>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</si>
  <si>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</si>
  <si>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</si>
  <si>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</si>
  <si>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</si>
  <si>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</si>
  <si>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</si>
  <si>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</si>
  <si>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</si>
  <si>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</si>
  <si>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</si>
  <si>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</si>
  <si>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</si>
  <si>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</si>
  <si>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</si>
  <si>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</si>
  <si>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</si>
  <si>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</si>
  <si>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</si>
  <si>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</si>
  <si>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</si>
  <si>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</si>
  <si>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</si>
  <si>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</si>
  <si>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</si>
  <si>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</si>
  <si>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</si>
  <si>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</si>
  <si>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</si>
  <si>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</si>
  <si>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</si>
  <si>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</si>
  <si>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</si>
  <si>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</si>
  <si>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</si>
  <si>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</si>
  <si>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</si>
  <si>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</si>
  <si>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</si>
  <si>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</si>
  <si>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</si>
  <si>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</si>
  <si>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</si>
  <si>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</si>
  <si>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</si>
  <si>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</si>
  <si>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</si>
  <si>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</si>
  <si>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</si>
  <si>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</si>
  <si>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</si>
  <si>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</si>
  <si>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</si>
  <si>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</si>
  <si>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</si>
  <si>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</si>
  <si>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</si>
  <si>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</si>
  <si>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</si>
  <si>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</si>
  <si>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</si>
  <si>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</si>
  <si>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</si>
  <si>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</si>
  <si>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</si>
  <si>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</si>
  <si>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</si>
  <si>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</si>
  <si>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</si>
  <si>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</si>
  <si>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</si>
  <si>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</si>
  <si>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</si>
  <si>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</si>
  <si>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</si>
  <si>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</si>
  <si>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</si>
  <si>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</si>
  <si>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</si>
  <si>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</si>
  <si>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</si>
  <si>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</si>
  <si>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</si>
  <si>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</si>
  <si>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</si>
  <si>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</si>
  <si>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</si>
  <si>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</si>
  <si>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</si>
  <si>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</si>
  <si>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</si>
  <si>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</si>
  <si>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</si>
  <si>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</si>
  <si>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</si>
  <si>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</si>
  <si>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</si>
  <si>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</si>
  <si>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</si>
  <si>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</si>
  <si>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</si>
  <si>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</si>
  <si>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</si>
  <si>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</si>
  <si>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</si>
  <si>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</si>
  <si>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</si>
  <si>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</si>
  <si>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</si>
  <si>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</si>
  <si>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</si>
  <si>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</si>
  <si>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</si>
  <si>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</si>
  <si>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</si>
  <si>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</si>
  <si>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</si>
  <si>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</si>
  <si>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</si>
  <si>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</si>
  <si>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</si>
  <si>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</si>
  <si>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</si>
  <si>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</si>
  <si>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</si>
  <si>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</si>
  <si>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</si>
  <si>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</si>
  <si>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</si>
  <si>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</si>
  <si>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</si>
  <si>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</si>
  <si>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</si>
  <si>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</si>
  <si>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</si>
  <si>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</si>
  <si>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</si>
  <si>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</si>
  <si>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</si>
  <si>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</si>
  <si>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</si>
  <si>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</si>
  <si>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</si>
  <si>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</si>
  <si>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</si>
  <si>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</si>
  <si>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</si>
  <si>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</si>
  <si>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</si>
  <si>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</si>
  <si>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</si>
  <si>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</si>
  <si>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</si>
  <si>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</si>
  <si>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</si>
  <si>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</si>
  <si>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</si>
  <si>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</si>
  <si>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</si>
  <si>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</si>
  <si>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</si>
  <si>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</si>
  <si>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</si>
  <si>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</si>
  <si>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</si>
  <si>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</si>
  <si>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</si>
  <si>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</si>
  <si>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</si>
  <si>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</si>
  <si>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</si>
  <si>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</si>
  <si>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</si>
  <si>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</si>
  <si>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</si>
  <si>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</si>
  <si>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</si>
  <si>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</si>
  <si>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</si>
  <si>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</si>
  <si>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</si>
  <si>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</si>
  <si>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</si>
  <si>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</si>
  <si>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</si>
  <si>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</si>
  <si>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</si>
  <si>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</si>
  <si>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</si>
  <si>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</si>
  <si>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</si>
  <si>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</si>
  <si>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</si>
  <si>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</si>
  <si>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</si>
  <si>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</si>
  <si>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</si>
  <si>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</si>
  <si>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</si>
  <si>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</si>
  <si>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</si>
  <si>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</si>
  <si>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</si>
  <si>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</si>
  <si>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</si>
  <si>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</si>
  <si>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</si>
  <si>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</si>
  <si>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</si>
  <si>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</si>
  <si>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</si>
  <si>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</si>
  <si>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</si>
  <si>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</si>
  <si>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</si>
  <si>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</si>
  <si>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</si>
  <si>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</si>
  <si>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</si>
  <si>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</si>
  <si>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</si>
  <si>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</si>
  <si>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</si>
  <si>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</si>
  <si>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</si>
  <si>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</si>
  <si>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</si>
  <si>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</si>
  <si>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</si>
  <si>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</si>
  <si>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</si>
  <si>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</si>
  <si>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</si>
  <si>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</si>
  <si>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</si>
  <si>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</si>
  <si>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</si>
  <si>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</si>
  <si>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</si>
  <si>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</si>
  <si>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</si>
  <si>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</si>
  <si>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</si>
  <si>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</si>
  <si>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</si>
  <si>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</si>
  <si>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</si>
  <si>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</si>
  <si>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</si>
  <si>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</si>
  <si>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</si>
  <si>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</si>
  <si>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</si>
  <si>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</si>
  <si>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</si>
  <si>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</si>
  <si>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</si>
  <si>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</si>
  <si>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</si>
  <si>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</si>
  <si>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</si>
  <si>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</si>
  <si>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</si>
  <si>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</si>
  <si>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</si>
  <si>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</si>
  <si>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</si>
  <si>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</si>
  <si>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</si>
  <si>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</si>
  <si>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</si>
  <si>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</si>
  <si>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</si>
  <si>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</si>
  <si>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</si>
  <si>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</si>
  <si>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</si>
  <si>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</si>
  <si>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</si>
  <si>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</si>
  <si>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</si>
  <si>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</si>
  <si>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</si>
  <si>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</si>
  <si>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</si>
  <si>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</si>
  <si>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</si>
  <si>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</si>
  <si>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</si>
  <si>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</si>
  <si>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</si>
  <si>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</si>
  <si>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</si>
  <si>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</si>
  <si>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</si>
  <si>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</si>
  <si>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</si>
  <si>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</si>
  <si>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</si>
  <si>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</si>
  <si>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</si>
  <si>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</si>
  <si>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</si>
  <si>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</si>
  <si>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</si>
  <si>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</si>
  <si>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</si>
  <si>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</si>
  <si>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</si>
  <si>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</si>
  <si>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</si>
  <si>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</si>
  <si>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</si>
  <si>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</si>
  <si>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</si>
  <si>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</si>
  <si>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</si>
  <si>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</si>
  <si>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</si>
  <si>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</si>
  <si>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</si>
  <si>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</si>
  <si>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</si>
  <si>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</si>
  <si>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</si>
  <si>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</si>
  <si>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</si>
  <si>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</si>
  <si>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</si>
  <si>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</si>
  <si>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</si>
  <si>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</si>
  <si>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</si>
  <si>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</si>
  <si>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</si>
  <si>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</si>
  <si>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</si>
  <si>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</si>
  <si>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</si>
  <si>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</si>
  <si>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</si>
  <si>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</si>
  <si>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</si>
  <si>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</si>
  <si>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</si>
  <si>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</si>
  <si>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</si>
  <si>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</si>
  <si>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</si>
  <si>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</si>
  <si>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</si>
  <si>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</si>
  <si>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</si>
  <si>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</si>
  <si>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</si>
  <si>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</si>
  <si>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</si>
  <si>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</si>
  <si>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</si>
  <si>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</si>
  <si>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</si>
  <si>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</si>
  <si>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</si>
  <si>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</si>
  <si>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</si>
  <si>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</si>
  <si>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</si>
  <si>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</si>
  <si>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</si>
  <si>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</si>
  <si>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</si>
  <si>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</si>
  <si>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</si>
  <si>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</si>
  <si>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</si>
  <si>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</si>
  <si>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</si>
  <si>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</si>
  <si>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</si>
  <si>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</si>
  <si>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</si>
  <si>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</si>
  <si>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</si>
  <si>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</si>
  <si>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</si>
  <si>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</si>
  <si>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</si>
  <si>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</si>
  <si>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</si>
  <si>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</si>
  <si>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</si>
  <si>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</si>
  <si>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</si>
  <si>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</si>
  <si>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</si>
  <si>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</si>
  <si>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</si>
  <si>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</si>
  <si>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</si>
  <si>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</si>
  <si>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</si>
  <si>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</si>
  <si>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</si>
  <si>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</si>
  <si>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</si>
  <si>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</si>
  <si>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</si>
  <si>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</si>
  <si>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</si>
  <si>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</si>
  <si>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</si>
  <si>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</si>
  <si>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</si>
  <si>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</si>
  <si>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</si>
  <si>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</si>
  <si>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</si>
  <si>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</si>
  <si>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</si>
  <si>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</si>
  <si>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</si>
  <si>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</si>
  <si>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</si>
  <si>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</si>
  <si>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</si>
  <si>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</si>
  <si>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</si>
  <si>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</si>
  <si>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</si>
  <si>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</si>
  <si>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</si>
  <si>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</si>
  <si>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</si>
  <si>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</si>
  <si>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</si>
  <si>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</si>
  <si>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</si>
  <si>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</si>
  <si>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</si>
  <si>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</si>
  <si>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</si>
  <si>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</si>
  <si>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</si>
  <si>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</si>
  <si>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</si>
  <si>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</si>
  <si>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</si>
  <si>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</si>
  <si>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</si>
  <si>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</si>
  <si>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</si>
  <si>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</si>
  <si>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</si>
  <si>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</si>
  <si>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</si>
  <si>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</si>
  <si>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</si>
  <si>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</si>
  <si>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</si>
  <si>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</si>
  <si>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</si>
  <si>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</si>
  <si>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</si>
  <si>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</si>
  <si>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</si>
  <si>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</si>
  <si>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</si>
  <si>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</si>
  <si>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</si>
  <si>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</si>
  <si>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</si>
  <si>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</si>
  <si>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</si>
  <si>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</si>
  <si>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</si>
  <si>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</si>
  <si>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</si>
  <si>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</si>
  <si>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</si>
  <si>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</si>
  <si>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</si>
  <si>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</si>
  <si>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</si>
  <si>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</si>
  <si>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</si>
  <si>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</si>
  <si>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</si>
  <si>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</si>
  <si>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</si>
  <si>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</si>
  <si>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</si>
  <si>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</si>
  <si>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</si>
  <si>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</si>
  <si>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</si>
  <si>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</si>
  <si>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</si>
  <si>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</si>
  <si>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</si>
  <si>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</si>
  <si>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</si>
  <si>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</si>
  <si>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</si>
  <si>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</si>
  <si>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</si>
  <si>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</si>
  <si>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</si>
  <si>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</si>
  <si>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</si>
  <si>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</si>
  <si>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</si>
  <si>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</si>
  <si>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</si>
  <si>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</si>
  <si>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</si>
  <si>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</si>
  <si>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</si>
  <si>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</si>
  <si>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</si>
  <si>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</si>
  <si>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</si>
  <si>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</si>
  <si>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</si>
  <si>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</si>
  <si>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</si>
  <si>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</si>
  <si>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</si>
  <si>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</si>
  <si>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</si>
  <si>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</si>
  <si>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</si>
  <si>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</si>
  <si>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</si>
  <si>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</si>
  <si>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</si>
  <si>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</si>
  <si>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</si>
  <si>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</si>
  <si>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</si>
  <si>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</si>
  <si>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</si>
  <si>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</si>
  <si>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</si>
  <si>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</si>
  <si>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</si>
  <si>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</si>
  <si>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</si>
  <si>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</si>
  <si>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</si>
  <si>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</si>
  <si>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</si>
  <si>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</si>
  <si>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</si>
  <si>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</si>
  <si>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</si>
  <si>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</si>
  <si>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</si>
  <si>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</si>
  <si>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</si>
  <si>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</si>
  <si>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</si>
  <si>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</si>
  <si>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</si>
  <si>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</si>
  <si>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</si>
  <si>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</si>
  <si>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</si>
  <si>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</si>
  <si>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</si>
  <si>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</si>
  <si>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</si>
  <si>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</si>
  <si>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</si>
  <si>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</si>
  <si>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</si>
  <si>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</si>
  <si>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</si>
  <si>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</si>
  <si>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</si>
  <si>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</si>
  <si>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</si>
  <si>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</si>
  <si>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</si>
  <si>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</si>
  <si>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</si>
  <si>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</si>
  <si>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</si>
  <si>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</si>
  <si>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</si>
  <si>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</si>
  <si>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</si>
  <si>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</si>
  <si>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</si>
  <si>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</si>
  <si>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</si>
  <si>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</si>
  <si>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</si>
  <si>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</si>
  <si>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</si>
  <si>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</si>
  <si>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</si>
  <si>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</si>
  <si>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</si>
  <si>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</si>
  <si>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</si>
  <si>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</si>
  <si>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</si>
  <si>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</si>
  <si>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</si>
  <si>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</si>
  <si>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</si>
  <si>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</si>
  <si>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</si>
  <si>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</si>
  <si>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</si>
  <si>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</si>
  <si>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</si>
  <si>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</si>
  <si>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</si>
  <si>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</si>
  <si>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</si>
  <si>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</si>
  <si>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</si>
  <si>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</si>
  <si>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</si>
  <si>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</si>
  <si>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</si>
  <si>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</si>
  <si>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</si>
  <si>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</si>
  <si>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</si>
  <si>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</si>
  <si>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</si>
  <si>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</si>
  <si>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</si>
  <si>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</si>
  <si>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</si>
  <si>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</si>
  <si>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</si>
  <si>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</si>
  <si>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</si>
  <si>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</si>
  <si>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</si>
  <si>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</si>
  <si>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</si>
  <si>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</si>
  <si>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</si>
  <si>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</si>
  <si>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</si>
  <si>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</si>
  <si>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</si>
  <si>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</si>
  <si>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</si>
  <si>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</si>
  <si>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</si>
  <si>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</si>
  <si>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</si>
  <si>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</si>
  <si>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</si>
  <si>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</si>
  <si>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</si>
  <si>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</si>
  <si>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</si>
  <si>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</si>
  <si>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</si>
  <si>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</si>
  <si>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</si>
  <si>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</si>
  <si>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</si>
  <si>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</si>
  <si>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</si>
  <si>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</si>
  <si>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</si>
  <si>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</si>
  <si>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</si>
  <si>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</si>
  <si>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</si>
  <si>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</si>
  <si>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</si>
  <si>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</si>
  <si>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</si>
  <si>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</si>
  <si>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</si>
  <si>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</si>
  <si>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</si>
  <si>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</si>
  <si>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</si>
  <si>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</si>
  <si>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</si>
  <si>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</si>
  <si>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</si>
  <si>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</si>
  <si>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</si>
  <si>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</si>
  <si>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</si>
  <si>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</si>
  <si>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</si>
  <si>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</si>
  <si>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</si>
  <si>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</si>
  <si>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</si>
  <si>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</si>
  <si>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</si>
  <si>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</si>
  <si>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</si>
  <si>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</si>
  <si>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</si>
  <si>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</si>
  <si>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</si>
  <si>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</si>
  <si>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</si>
  <si>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</si>
  <si>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</si>
  <si>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</si>
  <si>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</si>
  <si>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</si>
  <si>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</si>
  <si>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</si>
  <si>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</si>
  <si>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</si>
  <si>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</si>
  <si>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</si>
  <si>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</si>
  <si>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</si>
  <si>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</si>
  <si>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</si>
  <si>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</si>
  <si>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</si>
  <si>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</si>
  <si>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</si>
  <si>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</si>
  <si>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</si>
  <si>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</si>
  <si>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</si>
  <si>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</si>
  <si>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</si>
  <si>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</si>
  <si>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</si>
  <si>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</si>
  <si>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</si>
  <si>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</si>
  <si>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</si>
  <si>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</si>
  <si>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</si>
  <si>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</si>
  <si>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</si>
  <si>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</si>
  <si>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</si>
  <si>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</si>
  <si>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</si>
  <si>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</si>
  <si>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</si>
  <si>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</si>
  <si>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</si>
  <si>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</si>
  <si>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</si>
  <si>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</si>
  <si>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</si>
  <si>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</si>
  <si>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</si>
  <si>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</si>
  <si>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</si>
  <si>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</si>
  <si>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</si>
  <si>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</si>
  <si>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</si>
  <si>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</si>
  <si>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</si>
  <si>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</si>
  <si>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</si>
  <si>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</si>
  <si>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</si>
  <si>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</si>
  <si>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</si>
  <si>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</si>
  <si>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</si>
  <si>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</si>
  <si>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</si>
  <si>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</si>
  <si>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</si>
  <si>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</si>
  <si>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</si>
  <si>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</si>
  <si>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</si>
  <si>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</si>
  <si>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</si>
  <si>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</si>
  <si>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</si>
  <si>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</si>
  <si>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</si>
  <si>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</si>
  <si>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</si>
  <si>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</si>
  <si>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</si>
  <si>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</si>
  <si>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</si>
  <si>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</si>
  <si>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</si>
  <si>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</si>
  <si>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</si>
  <si>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</si>
  <si>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</si>
  <si>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</si>
  <si>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</si>
  <si>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</si>
  <si>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</si>
  <si>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</si>
  <si>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</si>
  <si>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</si>
  <si>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</si>
  <si>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</si>
  <si>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</si>
  <si>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</si>
  <si>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</si>
  <si>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</si>
  <si>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</si>
  <si>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</si>
  <si>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</si>
  <si>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</si>
  <si>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</si>
  <si>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</si>
  <si>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</si>
  <si>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</si>
  <si>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</si>
  <si>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</si>
  <si>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</si>
  <si>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</si>
  <si>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</si>
  <si>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</si>
  <si>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</si>
  <si>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</si>
  <si>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</si>
  <si>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</si>
  <si>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</si>
  <si>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</si>
  <si>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</si>
  <si>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</si>
  <si>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</si>
  <si>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</si>
  <si>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</si>
  <si>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</si>
  <si>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</si>
  <si>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</si>
  <si>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</si>
  <si>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</si>
  <si>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</si>
  <si>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</si>
  <si>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</si>
  <si>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</si>
  <si>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</si>
  <si>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</si>
  <si>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</si>
  <si>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</si>
  <si>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</si>
  <si>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</si>
  <si>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</si>
  <si>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</si>
  <si>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</si>
  <si>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</si>
  <si>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</si>
  <si>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</si>
  <si>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</si>
  <si>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</si>
  <si>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</si>
  <si>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</si>
  <si>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</si>
  <si>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</si>
  <si>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</si>
  <si>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</si>
  <si>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</si>
  <si>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</si>
  <si>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</si>
  <si>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</si>
  <si>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</si>
  <si>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</si>
  <si>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</si>
  <si>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</si>
  <si>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</si>
  <si>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</si>
  <si>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</si>
  <si>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</si>
  <si>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</si>
  <si>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</si>
  <si>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</si>
  <si>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</si>
  <si>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</si>
  <si>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</si>
  <si>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</si>
  <si>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</si>
  <si>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</si>
  <si>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</si>
  <si>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</si>
  <si>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</si>
  <si>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</si>
  <si>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</si>
  <si>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</si>
  <si>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</si>
  <si>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</si>
  <si>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</si>
  <si>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</si>
  <si>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</si>
  <si>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</si>
  <si>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</si>
  <si>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</si>
  <si>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</si>
  <si>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</si>
  <si>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</si>
  <si>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</si>
  <si>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</si>
  <si>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</si>
  <si>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</si>
  <si>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</si>
  <si>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</si>
  <si>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</si>
  <si>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</si>
  <si>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</si>
  <si>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</si>
  <si>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</si>
  <si>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</si>
  <si>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</si>
  <si>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</si>
  <si>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</si>
  <si>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</si>
  <si>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</si>
  <si>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</si>
  <si>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</si>
  <si>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</si>
  <si>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</si>
  <si>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</si>
  <si>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</si>
  <si>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</si>
  <si>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</si>
  <si>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</si>
  <si>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</si>
  <si>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</si>
  <si>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</si>
  <si>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</si>
  <si>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</si>
  <si>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</si>
  <si>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</si>
  <si>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</si>
  <si>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</si>
  <si>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</si>
  <si>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</si>
  <si>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</si>
  <si>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</si>
  <si>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</si>
  <si>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</si>
  <si>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</si>
  <si>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</si>
  <si>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</si>
  <si>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</si>
  <si>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</si>
  <si>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</si>
  <si>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</si>
  <si>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</si>
  <si>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</si>
  <si>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</si>
  <si>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</si>
  <si>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</si>
  <si>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</si>
  <si>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</si>
  <si>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</si>
  <si>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</si>
  <si>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</si>
  <si>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</si>
  <si>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</si>
  <si>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</si>
  <si>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</si>
  <si>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</si>
  <si>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</si>
  <si>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</si>
  <si>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</si>
  <si>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</si>
  <si>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</si>
  <si>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</si>
  <si>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</si>
  <si>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</si>
  <si>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</si>
  <si>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</si>
  <si>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</si>
  <si>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</si>
  <si>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</si>
  <si>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</si>
  <si>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</si>
  <si>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</si>
  <si>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</si>
  <si>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</si>
  <si>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</si>
  <si>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</si>
  <si>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</si>
  <si>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</si>
  <si>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</si>
  <si>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</si>
  <si>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</si>
  <si>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</si>
  <si>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</si>
  <si>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</si>
  <si>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</si>
  <si>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</si>
  <si>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</si>
  <si>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</si>
  <si>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</si>
  <si>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</si>
  <si>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</si>
  <si>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</si>
  <si>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</si>
  <si>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</si>
  <si>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</si>
  <si>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</si>
  <si>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</si>
  <si>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</si>
  <si>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</si>
  <si>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</si>
  <si>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</si>
  <si>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</si>
  <si>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</si>
  <si>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</si>
  <si>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</si>
  <si>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</si>
  <si>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</si>
  <si>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</si>
  <si>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</si>
  <si>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</si>
  <si>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</si>
  <si>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</si>
  <si>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</si>
  <si>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</si>
  <si>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</si>
  <si>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</si>
  <si>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</si>
  <si>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</si>
  <si>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</si>
  <si>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</si>
  <si>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</si>
  <si>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</si>
  <si>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</si>
  <si>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</si>
  <si>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</si>
  <si>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</si>
  <si>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</si>
  <si>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</si>
  <si>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</si>
  <si>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</si>
  <si>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</si>
  <si>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</si>
  <si>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</si>
  <si>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</si>
  <si>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</si>
  <si>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</si>
  <si>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</si>
  <si>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</si>
  <si>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</si>
  <si>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</si>
  <si>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</si>
  <si>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</si>
  <si>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</si>
  <si>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</si>
  <si>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</si>
  <si>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</si>
  <si>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</si>
  <si>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</si>
  <si>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</si>
  <si>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</si>
  <si>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</si>
  <si>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</si>
  <si>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</si>
  <si>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</si>
  <si>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</si>
  <si>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</si>
  <si>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</si>
  <si>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</si>
  <si>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</si>
  <si>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</si>
  <si>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</si>
  <si>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</si>
  <si>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</si>
  <si>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</si>
  <si>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</si>
  <si>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</si>
  <si>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</si>
  <si>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</si>
  <si>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</si>
  <si>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</si>
  <si>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</si>
  <si>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</si>
  <si>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</si>
  <si>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</si>
  <si>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</si>
  <si>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</si>
  <si>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</si>
  <si>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</si>
  <si>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</si>
  <si>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</si>
  <si>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</si>
  <si>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</si>
  <si>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</si>
  <si>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</si>
  <si>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</si>
  <si>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</si>
  <si>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</si>
  <si>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</si>
  <si>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</si>
  <si>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</si>
  <si>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</si>
  <si>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</si>
  <si>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</si>
  <si>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</si>
  <si>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</si>
  <si>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</si>
  <si>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</si>
  <si>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</si>
  <si>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</si>
  <si>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</si>
  <si>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</si>
  <si>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</si>
  <si>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</si>
  <si>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</si>
  <si>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</si>
  <si>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</si>
  <si>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</si>
  <si>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</si>
  <si>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</si>
  <si>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</si>
  <si>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</si>
  <si>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</si>
  <si>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</si>
  <si>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</si>
  <si>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</si>
  <si>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</si>
  <si>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</si>
  <si>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</si>
  <si>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</si>
  <si>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</si>
  <si>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</si>
  <si>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</si>
  <si>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</si>
  <si>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</si>
  <si>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</si>
  <si>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</si>
  <si>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</si>
  <si>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</si>
  <si>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</si>
  <si>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</si>
  <si>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</si>
  <si>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</si>
  <si>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</si>
  <si>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</si>
  <si>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</si>
  <si>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</si>
  <si>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</si>
  <si>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</si>
  <si>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</si>
  <si>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</si>
  <si>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</si>
  <si>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</si>
  <si>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</si>
  <si>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</si>
  <si>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</si>
  <si>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</si>
  <si>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</si>
  <si>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</si>
  <si>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</si>
  <si>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</si>
  <si>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</si>
  <si>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</si>
  <si>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</si>
  <si>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</si>
  <si>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</si>
  <si>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</si>
  <si>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</si>
  <si>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</si>
  <si>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</si>
  <si>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</si>
  <si>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</si>
  <si>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</si>
  <si>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</si>
  <si>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</si>
  <si>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</si>
  <si>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</si>
  <si>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</si>
  <si>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</si>
  <si>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</si>
  <si>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</si>
  <si>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</si>
  <si>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</si>
  <si>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</si>
  <si>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</si>
  <si>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</si>
  <si>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</si>
  <si>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</si>
  <si>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</si>
  <si>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</si>
  <si>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</si>
  <si>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</si>
  <si>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</si>
  <si>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</si>
  <si>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</si>
  <si>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</si>
  <si>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</si>
  <si>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</si>
  <si>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</si>
  <si>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</si>
  <si>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</si>
  <si>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</si>
  <si>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</si>
  <si>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</si>
  <si>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</si>
  <si>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</si>
  <si>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</si>
  <si>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</si>
  <si>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</si>
  <si>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</si>
  <si>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</si>
  <si>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</si>
  <si>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</si>
  <si>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</si>
  <si>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</si>
  <si>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</si>
  <si>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</si>
  <si>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</si>
  <si>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</si>
  <si>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</si>
  <si>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</si>
  <si>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</si>
  <si>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</si>
  <si>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</si>
  <si>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</si>
  <si>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</si>
  <si>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</si>
  <si>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</si>
  <si>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</si>
  <si>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</si>
  <si>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</si>
  <si>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</si>
  <si>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</si>
  <si>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</si>
  <si>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</si>
  <si>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</si>
  <si>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</si>
  <si>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</si>
  <si>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</si>
  <si>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</si>
  <si>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</si>
  <si>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</si>
  <si>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</si>
  <si>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</si>
  <si>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</si>
  <si>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</si>
  <si>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</si>
  <si>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</si>
  <si>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</si>
  <si>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</si>
  <si>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</si>
  <si>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</si>
  <si>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</si>
  <si>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</si>
  <si>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</si>
  <si>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</si>
  <si>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</si>
  <si>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</si>
  <si>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</si>
  <si>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</si>
  <si>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</si>
  <si>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</si>
  <si>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</si>
  <si>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</si>
  <si>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</si>
  <si>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</si>
  <si>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</si>
  <si>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</si>
  <si>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</si>
  <si>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</si>
  <si>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</si>
  <si>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</si>
  <si>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</si>
  <si>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</si>
  <si>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</si>
  <si>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</si>
  <si>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</si>
  <si>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</si>
  <si>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</si>
  <si>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</si>
  <si>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</si>
  <si>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</si>
  <si>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</si>
  <si>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</si>
  <si>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</si>
  <si>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</si>
  <si>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</si>
  <si>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</si>
  <si>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</si>
  <si>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</si>
  <si>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</si>
  <si>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</si>
  <si>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</si>
  <si>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</si>
  <si>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</si>
  <si>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</si>
  <si>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</si>
  <si>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</si>
  <si>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</si>
  <si>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</si>
  <si>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</si>
  <si>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</si>
  <si>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</si>
  <si>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</si>
  <si>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</si>
  <si>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</si>
  <si>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</si>
  <si>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</si>
  <si>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</si>
  <si>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</si>
  <si>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</si>
  <si>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</si>
  <si>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</si>
  <si>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</si>
  <si>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</si>
  <si>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</si>
  <si>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</si>
  <si>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</si>
  <si>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</si>
  <si>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</si>
  <si>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</si>
  <si>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</si>
  <si>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</si>
  <si>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</si>
  <si>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</si>
  <si>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</si>
  <si>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</si>
  <si>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</si>
  <si>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</si>
  <si>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</si>
  <si>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</si>
  <si>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</si>
  <si>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</si>
  <si>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</si>
  <si>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</si>
  <si>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</si>
  <si>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</si>
  <si>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</si>
  <si>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</si>
  <si>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</si>
  <si>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</si>
  <si>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</si>
  <si>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</si>
  <si>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</si>
  <si>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</si>
  <si>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</si>
  <si>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</si>
  <si>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</si>
  <si>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</si>
  <si>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</si>
  <si>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</si>
  <si>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</si>
  <si>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</si>
  <si>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</si>
  <si>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</si>
  <si>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</si>
  <si>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</si>
  <si>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</si>
  <si>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</si>
  <si>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</si>
  <si>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</si>
  <si>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</si>
  <si>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</si>
  <si>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</si>
  <si>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</si>
  <si>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</si>
  <si>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</si>
  <si>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</si>
  <si>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</si>
  <si>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</si>
  <si>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</si>
  <si>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</si>
  <si>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</si>
  <si>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</si>
  <si>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</si>
  <si>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</si>
  <si>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</si>
  <si>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</si>
  <si>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</si>
  <si>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</si>
  <si>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</si>
  <si>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</si>
  <si>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</si>
  <si>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</si>
  <si>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</si>
  <si>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</si>
  <si>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</si>
  <si>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</si>
  <si>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</si>
  <si>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</si>
  <si>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</si>
  <si>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</si>
  <si>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</si>
  <si>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</si>
  <si>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</si>
  <si>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</si>
  <si>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</si>
  <si>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</si>
  <si>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</si>
  <si>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</si>
  <si>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</si>
  <si>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</si>
  <si>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</si>
  <si>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</si>
  <si>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</si>
  <si>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</si>
  <si>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</si>
  <si>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</si>
  <si>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</si>
  <si>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</si>
  <si>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</si>
  <si>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</si>
  <si>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</si>
  <si>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</si>
  <si>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</si>
  <si>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</si>
  <si>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</si>
  <si>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</si>
  <si>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</si>
  <si>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</si>
  <si>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</si>
  <si>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</si>
  <si>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</si>
  <si>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</si>
  <si>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</si>
  <si>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</si>
  <si>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</si>
  <si>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</si>
  <si>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</si>
  <si>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</si>
  <si>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</si>
  <si>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</si>
  <si>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</si>
  <si>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</si>
  <si>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</si>
  <si>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</si>
  <si>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</si>
  <si>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</si>
  <si>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</si>
  <si>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</si>
  <si>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</si>
  <si>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</si>
  <si>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</si>
  <si>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</si>
  <si>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</si>
  <si>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</si>
  <si>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</si>
  <si>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</si>
  <si>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</si>
  <si>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</si>
  <si>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</si>
  <si>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</si>
  <si>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</si>
  <si>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</si>
  <si>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</si>
  <si>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</si>
  <si>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</si>
  <si>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</si>
  <si>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</si>
  <si>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</si>
  <si>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</si>
  <si>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</si>
  <si>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</si>
  <si>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</si>
  <si>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</si>
  <si>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</si>
  <si>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</si>
  <si>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</si>
  <si>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</si>
  <si>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</si>
  <si>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</si>
  <si>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</si>
  <si>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</si>
  <si>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</si>
  <si>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</si>
  <si>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</si>
  <si>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</si>
  <si>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</si>
  <si>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</si>
  <si>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</si>
  <si>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</si>
  <si>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</si>
  <si>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</si>
  <si>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</si>
  <si>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</si>
  <si>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</si>
  <si>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</si>
  <si>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</si>
  <si>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</si>
  <si>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</si>
  <si>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</si>
  <si>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</si>
  <si>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</si>
  <si>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</si>
  <si>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</si>
  <si>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</si>
  <si>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</si>
  <si>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</si>
  <si>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</si>
  <si>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</si>
  <si>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</si>
  <si>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</si>
  <si>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</si>
  <si>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</si>
  <si>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</si>
  <si>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</si>
  <si>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</si>
  <si>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</si>
  <si>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</si>
  <si>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</si>
  <si>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</si>
  <si>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</si>
  <si>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</si>
  <si>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</si>
  <si>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</si>
  <si>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</si>
  <si>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</si>
  <si>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</si>
  <si>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</si>
  <si>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</si>
  <si>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</si>
  <si>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</si>
  <si>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</si>
  <si>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</si>
  <si>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</si>
  <si>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</si>
  <si>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</si>
  <si>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</si>
  <si>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</si>
  <si>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</si>
  <si>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</si>
  <si>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</si>
  <si>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</si>
  <si>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</si>
  <si>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</si>
  <si>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</si>
  <si>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</si>
  <si>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</si>
  <si>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</si>
  <si>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</si>
  <si>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</si>
  <si>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</si>
  <si>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</si>
  <si>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</si>
  <si>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</si>
  <si>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</si>
  <si>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</si>
  <si>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</si>
  <si>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</si>
  <si>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</si>
  <si>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</si>
  <si>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</si>
  <si>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</si>
  <si>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</si>
  <si>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</si>
  <si>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</si>
  <si>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</si>
  <si>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</si>
  <si>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</si>
  <si>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</si>
  <si>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</si>
  <si>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</si>
  <si>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</si>
  <si>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</si>
  <si>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</si>
  <si>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</si>
  <si>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</si>
  <si>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</si>
  <si>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</si>
  <si>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</si>
  <si>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</si>
  <si>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</si>
  <si>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</si>
  <si>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</si>
  <si>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</si>
  <si>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</si>
  <si>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</si>
  <si>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</si>
  <si>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</si>
  <si>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</si>
  <si>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</si>
  <si>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</si>
  <si>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</si>
  <si>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</si>
  <si>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</si>
  <si>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</si>
  <si>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</si>
  <si>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</si>
  <si>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</si>
  <si>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</si>
  <si>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</si>
  <si>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</si>
  <si>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</si>
  <si>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</si>
  <si>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</si>
  <si>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</si>
  <si>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</si>
  <si>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</si>
  <si>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</si>
  <si>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</si>
  <si>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</si>
  <si>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</si>
  <si>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</si>
  <si>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</si>
  <si>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</si>
  <si>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</si>
  <si>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</si>
  <si>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</si>
  <si>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</si>
  <si>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</si>
  <si>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</si>
  <si>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</si>
  <si>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</si>
  <si>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</si>
  <si>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</si>
  <si>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</si>
  <si>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</si>
  <si>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</si>
  <si>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</si>
  <si>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</si>
  <si>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</si>
  <si>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</si>
  <si>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</si>
  <si>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</si>
  <si>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</si>
  <si>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</si>
  <si>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</si>
  <si>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</si>
  <si>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</si>
  <si>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</si>
  <si>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</si>
  <si>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</si>
  <si>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</si>
  <si>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</si>
  <si>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</si>
  <si>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</si>
  <si>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</si>
  <si>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</si>
  <si>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</si>
  <si>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</si>
  <si>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</si>
  <si>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</si>
  <si>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</si>
  <si>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</si>
  <si>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</si>
  <si>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</si>
  <si>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</si>
  <si>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</si>
  <si>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</si>
  <si>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</si>
  <si>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</si>
  <si>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</si>
  <si>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</si>
  <si>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</si>
  <si>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</si>
  <si>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</si>
  <si>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</si>
  <si>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</si>
  <si>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</si>
  <si>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</si>
  <si>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</si>
  <si>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</si>
  <si>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</si>
  <si>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</si>
  <si>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</si>
  <si>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</si>
  <si>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</si>
  <si>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</si>
  <si>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</si>
  <si>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</si>
  <si>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</si>
  <si>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</si>
  <si>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</si>
  <si>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</si>
  <si>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</si>
  <si>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</si>
  <si>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</si>
  <si>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</si>
  <si>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</si>
  <si>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</si>
  <si>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</si>
  <si>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</si>
  <si>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</si>
  <si>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</si>
  <si>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</si>
  <si>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</si>
  <si>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</si>
  <si>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</si>
  <si>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</si>
  <si>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</si>
  <si>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</si>
  <si>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</si>
  <si>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</si>
  <si>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</si>
  <si>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</si>
  <si>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</si>
  <si>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</si>
  <si>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</si>
  <si>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</si>
  <si>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</si>
  <si>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</si>
  <si>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</si>
  <si>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</si>
  <si>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</si>
  <si>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</si>
  <si>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</si>
  <si>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</si>
  <si>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</si>
  <si>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</si>
  <si>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</si>
  <si>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</si>
  <si>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</si>
  <si>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</si>
  <si>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</si>
  <si>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</si>
  <si>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</si>
  <si>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</si>
  <si>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</si>
  <si>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</si>
  <si>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</si>
  <si>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</si>
  <si>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</si>
  <si>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</si>
  <si>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</si>
  <si>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</si>
  <si>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</si>
  <si>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</si>
  <si>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</si>
  <si>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</si>
  <si>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</si>
  <si>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</si>
  <si>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</si>
  <si>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</si>
  <si>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</si>
  <si>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</si>
  <si>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</si>
  <si>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</si>
  <si>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</si>
  <si>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</si>
  <si>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</si>
  <si>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</si>
  <si>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</si>
  <si>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</si>
  <si>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</si>
  <si>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</si>
  <si>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</si>
  <si>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</si>
  <si>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</si>
  <si>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</si>
  <si>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</si>
  <si>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</si>
  <si>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</si>
  <si>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</si>
  <si>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</si>
  <si>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</si>
  <si>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</si>
  <si>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</si>
  <si>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</si>
  <si>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</si>
  <si>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</si>
  <si>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</si>
  <si>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</si>
  <si>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</si>
  <si>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</si>
  <si>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</si>
  <si>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</si>
  <si>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</si>
  <si>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</si>
  <si>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</si>
  <si>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</si>
  <si>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</si>
  <si>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</si>
  <si>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</si>
  <si>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</si>
  <si>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</si>
  <si>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</si>
  <si>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</si>
  <si>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</si>
  <si>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</si>
  <si>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</si>
  <si>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</si>
  <si>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</si>
  <si>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</si>
  <si>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</si>
  <si>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</si>
  <si>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</si>
  <si>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</si>
  <si>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</si>
  <si>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</si>
  <si>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</si>
  <si>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</si>
  <si>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</si>
  <si>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</si>
  <si>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</si>
  <si>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</si>
  <si>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</si>
  <si>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</si>
  <si>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</si>
  <si>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</si>
  <si>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</si>
  <si>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</si>
  <si>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</si>
  <si>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</si>
  <si>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</si>
  <si>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</si>
  <si>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</si>
  <si>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</si>
  <si>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</si>
  <si>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</si>
  <si>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</si>
  <si>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</si>
  <si>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</si>
  <si>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</si>
  <si>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</si>
  <si>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</si>
  <si>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</si>
  <si>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</si>
  <si>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</si>
  <si>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</si>
  <si>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</si>
  <si>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</si>
  <si>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</si>
  <si>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</si>
  <si>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</si>
  <si>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</si>
  <si>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</si>
  <si>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</si>
  <si>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</si>
  <si>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</si>
  <si>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</si>
  <si>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</si>
  <si>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</si>
  <si>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</si>
  <si>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</si>
  <si>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</si>
  <si>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</si>
  <si>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</si>
  <si>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</si>
  <si>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</si>
  <si>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</si>
  <si>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</si>
  <si>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</si>
  <si>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</si>
  <si>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</si>
  <si>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</si>
  <si>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</si>
  <si>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</si>
  <si>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</si>
  <si>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</si>
  <si>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</si>
  <si>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</si>
  <si>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</si>
  <si>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</si>
  <si>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</si>
  <si>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</si>
  <si>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</si>
  <si>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</si>
  <si>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</si>
  <si>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</si>
  <si>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</si>
  <si>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</si>
  <si>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</si>
  <si>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</si>
  <si>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</si>
  <si>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</si>
  <si>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</si>
  <si>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</si>
  <si>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</si>
  <si>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</si>
  <si>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</si>
  <si>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</si>
  <si>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</si>
  <si>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</si>
  <si>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</si>
  <si>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</si>
  <si>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</si>
  <si>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</si>
  <si>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</si>
  <si>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</si>
  <si>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</si>
  <si>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</si>
  <si>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</si>
  <si>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</si>
  <si>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</si>
  <si>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</si>
  <si>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</si>
  <si>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</si>
  <si>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</si>
  <si>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</si>
  <si>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</si>
  <si>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</si>
  <si>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</si>
  <si>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</si>
  <si>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</si>
  <si>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</si>
  <si>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</si>
  <si>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</si>
  <si>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</si>
  <si>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</si>
  <si>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</si>
  <si>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</si>
  <si>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</si>
  <si>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</si>
  <si>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</si>
  <si>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</si>
  <si>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</si>
  <si>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</si>
  <si>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</si>
  <si>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</si>
  <si>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</si>
  <si>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</si>
  <si>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</si>
  <si>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</si>
  <si>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</si>
  <si>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</si>
  <si>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</si>
  <si>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</si>
  <si>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</si>
  <si>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</si>
  <si>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</si>
  <si>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</si>
  <si>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</si>
  <si>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</si>
  <si>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</si>
  <si>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</si>
  <si>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</si>
  <si>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</si>
  <si>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</si>
  <si>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</si>
  <si>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</si>
  <si>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</si>
  <si>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</si>
  <si>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</si>
  <si>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</si>
  <si>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</si>
  <si>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</si>
  <si>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</si>
  <si>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</si>
  <si>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</si>
  <si>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</si>
  <si>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</si>
  <si>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</si>
  <si>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</si>
  <si>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</si>
  <si>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</si>
  <si>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</si>
  <si>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</si>
  <si>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</si>
  <si>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</si>
  <si>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</si>
  <si>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</si>
  <si>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</si>
  <si>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</si>
  <si>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</si>
  <si>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</si>
  <si>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</si>
  <si>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</si>
  <si>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</si>
  <si>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</si>
  <si>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</si>
  <si>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</si>
  <si>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</si>
  <si>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</si>
  <si>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</si>
  <si>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</si>
  <si>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</si>
  <si>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</si>
  <si>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</si>
  <si>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</si>
  <si>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</si>
  <si>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</si>
  <si>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</si>
  <si>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</si>
  <si>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</si>
  <si>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</si>
  <si>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</si>
  <si>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</si>
  <si>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</si>
  <si>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</si>
  <si>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</si>
  <si>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</si>
  <si>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</si>
  <si>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</si>
  <si>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</si>
  <si>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</si>
  <si>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</si>
  <si>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</si>
  <si>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</si>
  <si>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</si>
  <si>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</si>
  <si>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</si>
  <si>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</si>
  <si>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</si>
  <si>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</si>
  <si>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</si>
  <si>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</si>
  <si>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</si>
  <si>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</si>
  <si>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</si>
  <si>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</si>
  <si>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</si>
  <si>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</si>
  <si>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</si>
  <si>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</si>
  <si>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</si>
  <si>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</si>
  <si>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</si>
  <si>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</si>
  <si>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</si>
  <si>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</si>
  <si>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</si>
  <si>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</si>
  <si>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</si>
  <si>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</si>
  <si>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</si>
  <si>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</si>
  <si>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</si>
  <si>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</si>
  <si>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</si>
  <si>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</si>
  <si>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</si>
  <si>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</si>
  <si>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</si>
  <si>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</si>
  <si>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</si>
  <si>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</si>
  <si>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</si>
  <si>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</si>
  <si>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</si>
  <si>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</si>
  <si>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</si>
  <si>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</si>
  <si>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</si>
  <si>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</si>
  <si>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</si>
  <si>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</si>
  <si>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</si>
  <si>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</si>
  <si>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</si>
  <si>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</si>
  <si>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</si>
  <si>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</si>
  <si>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</si>
  <si>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</si>
  <si>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</si>
  <si>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</si>
  <si>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</si>
  <si>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</si>
  <si>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</si>
  <si>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</si>
  <si>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</si>
  <si>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</si>
  <si>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</si>
  <si>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</si>
  <si>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</si>
  <si>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</si>
  <si>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</si>
  <si>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</si>
  <si>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</si>
  <si>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</si>
  <si>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</si>
  <si>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</si>
  <si>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</si>
  <si>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</si>
  <si>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</si>
  <si>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</si>
  <si>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</si>
  <si>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</si>
  <si>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</si>
  <si>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</si>
  <si>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</si>
  <si>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</si>
  <si>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</si>
  <si>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</si>
  <si>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</si>
  <si>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</si>
  <si>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</si>
  <si>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</si>
  <si>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</si>
  <si>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</si>
  <si>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</si>
  <si>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</si>
  <si>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</si>
  <si>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</si>
  <si>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</si>
  <si>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</si>
  <si>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</si>
  <si>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</si>
  <si>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</si>
  <si>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</si>
  <si>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</si>
  <si>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</si>
  <si>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</si>
  <si>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</si>
  <si>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</si>
  <si>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</si>
  <si>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</si>
  <si>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</si>
  <si>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</si>
  <si>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</si>
  <si>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</si>
  <si>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</si>
  <si>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</si>
  <si>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</si>
  <si>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</si>
  <si>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</si>
  <si>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</si>
  <si>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</si>
  <si>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</si>
  <si>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</si>
  <si>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</si>
  <si>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</si>
  <si>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</si>
  <si>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</si>
  <si>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</si>
  <si>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</si>
  <si>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</si>
  <si>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</si>
  <si>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</si>
  <si>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</si>
  <si>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</si>
  <si>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</si>
  <si>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</si>
  <si>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</si>
  <si>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</si>
  <si>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</si>
  <si>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</si>
  <si>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</si>
  <si>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</si>
  <si>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</si>
  <si>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</si>
  <si>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</si>
  <si>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</si>
  <si>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</si>
  <si>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</si>
  <si>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</si>
  <si>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</si>
  <si>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</si>
  <si>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</si>
  <si>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</si>
  <si>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</si>
  <si>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</si>
  <si>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</si>
  <si>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</si>
  <si>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</si>
  <si>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</si>
  <si>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</si>
  <si>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</si>
  <si>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</si>
  <si>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</si>
  <si>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</si>
  <si>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</si>
  <si>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</si>
  <si>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</si>
  <si>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</si>
  <si>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</si>
  <si>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</si>
  <si>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</si>
  <si>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</si>
  <si>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</si>
  <si>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</si>
  <si>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</si>
  <si>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</si>
  <si>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</si>
  <si>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</si>
  <si>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</si>
  <si>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</si>
  <si>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</si>
  <si>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</si>
  <si>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</si>
  <si>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</si>
  <si>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</si>
  <si>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</si>
  <si>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</si>
  <si>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</si>
  <si>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</si>
  <si>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</si>
  <si>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</si>
  <si>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</si>
  <si>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</si>
  <si>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</si>
  <si>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</si>
  <si>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</si>
  <si>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</si>
  <si>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</si>
  <si>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</si>
  <si>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</si>
  <si>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</si>
  <si>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</si>
  <si>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</si>
  <si>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</si>
  <si>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</si>
  <si>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</si>
  <si>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</si>
  <si>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</si>
  <si>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</si>
  <si>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</si>
  <si>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</si>
  <si>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</si>
  <si>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</si>
  <si>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</si>
  <si>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</si>
  <si>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</si>
  <si>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</si>
  <si>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</si>
  <si>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</si>
  <si>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</si>
  <si>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</si>
  <si>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</si>
  <si>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</si>
  <si>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</si>
  <si>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</si>
  <si>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</si>
  <si>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</si>
  <si>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</si>
  <si>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</si>
  <si>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</si>
  <si>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</si>
  <si>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</si>
  <si>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</si>
  <si>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</si>
  <si>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</si>
  <si>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</si>
  <si>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</si>
  <si>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</si>
  <si>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</si>
  <si>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</si>
  <si>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</si>
  <si>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</si>
  <si>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</si>
  <si>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</si>
  <si>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</si>
  <si>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</si>
  <si>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</si>
  <si>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</si>
  <si>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</si>
  <si>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</si>
  <si>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</si>
  <si>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</si>
  <si>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</si>
  <si>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</si>
  <si>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</si>
  <si>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</si>
  <si>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</si>
  <si>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</si>
  <si>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</si>
  <si>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</si>
  <si>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</si>
  <si>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</si>
  <si>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</si>
  <si>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</si>
  <si>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</si>
  <si>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</si>
  <si>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</si>
  <si>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</si>
  <si>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</si>
  <si>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</si>
  <si>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</si>
  <si>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</si>
  <si>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</si>
  <si>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</si>
  <si>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</si>
  <si>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</si>
  <si>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</si>
  <si>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</si>
  <si>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</si>
  <si>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</si>
  <si>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</si>
  <si>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</si>
  <si>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</si>
  <si>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</si>
  <si>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</si>
  <si>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</si>
  <si>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</si>
  <si>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</si>
  <si>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</si>
  <si>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</si>
  <si>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</si>
  <si>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</si>
  <si>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</si>
  <si>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</si>
  <si>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</si>
  <si>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</si>
  <si>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</si>
  <si>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</si>
  <si>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</si>
  <si>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</si>
  <si>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</si>
  <si>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</si>
  <si>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</si>
  <si>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</si>
  <si>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</si>
  <si>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</si>
  <si>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</si>
  <si>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</si>
  <si>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</si>
  <si>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</si>
  <si>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</si>
  <si>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</si>
  <si>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</si>
  <si>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</si>
  <si>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</si>
  <si>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</si>
  <si>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</si>
  <si>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</si>
  <si>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</si>
  <si>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</si>
  <si>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</si>
  <si>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</si>
  <si>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</si>
  <si>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</si>
  <si>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</si>
  <si>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</si>
  <si>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</si>
  <si>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</si>
  <si>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</si>
  <si>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</si>
  <si>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</si>
  <si>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</si>
  <si>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</si>
  <si>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</si>
  <si>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</si>
  <si>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</si>
  <si>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</si>
  <si>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</si>
  <si>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</si>
  <si>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</si>
  <si>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</si>
  <si>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</si>
  <si>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</si>
  <si>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</si>
  <si>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</si>
  <si>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</si>
  <si>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</si>
  <si>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</si>
  <si>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</si>
  <si>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</si>
  <si>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</si>
  <si>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</si>
  <si>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</si>
  <si>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</si>
  <si>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</si>
  <si>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</si>
  <si>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</si>
  <si>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</si>
  <si>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</si>
  <si>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</si>
  <si>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</si>
  <si>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</si>
  <si>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</si>
  <si>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</si>
  <si>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</si>
  <si>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</si>
  <si>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</si>
  <si>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</si>
  <si>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</si>
  <si>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</si>
  <si>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</si>
  <si>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</si>
  <si>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</si>
  <si>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</si>
  <si>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</si>
  <si>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</si>
  <si>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</si>
  <si>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</si>
  <si>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</si>
  <si>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</si>
  <si>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</si>
  <si>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</si>
  <si>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</si>
  <si>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</si>
  <si>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</si>
  <si>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</si>
  <si>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</si>
  <si>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</si>
  <si>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</si>
  <si>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</si>
  <si>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</si>
  <si>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</si>
  <si>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</si>
  <si>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</si>
  <si>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</si>
  <si>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</si>
  <si>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</si>
  <si>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</si>
  <si>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</si>
  <si>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</si>
  <si>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</si>
  <si>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</si>
  <si>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</si>
  <si>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</si>
  <si>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</si>
  <si>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</si>
  <si>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</si>
  <si>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</si>
  <si>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</si>
  <si>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</si>
  <si>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</si>
  <si>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</si>
  <si>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</si>
  <si>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</si>
  <si>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</si>
  <si>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</si>
  <si>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</si>
  <si>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</si>
  <si>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</si>
  <si>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</si>
  <si>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</si>
  <si>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</si>
  <si>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</si>
  <si>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</si>
  <si>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</si>
  <si>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</si>
  <si>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</si>
  <si>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</si>
  <si>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</si>
  <si>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</si>
  <si>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</si>
  <si>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</si>
  <si>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</si>
  <si>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</si>
  <si>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</si>
  <si>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</si>
  <si>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</si>
  <si>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</si>
  <si>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</si>
  <si>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</si>
  <si>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</si>
  <si>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</si>
  <si>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</si>
  <si>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</si>
  <si>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</si>
  <si>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</si>
  <si>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</si>
  <si>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</si>
  <si>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</si>
  <si>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</si>
  <si>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</si>
  <si>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</si>
  <si>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</si>
  <si>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</si>
  <si>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</si>
  <si>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</si>
  <si>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</si>
  <si>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</si>
  <si>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</si>
  <si>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</si>
  <si>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</si>
  <si>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</si>
  <si>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</si>
  <si>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</si>
  <si>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</si>
  <si>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</si>
  <si>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</si>
  <si>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</si>
  <si>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</si>
  <si>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</si>
  <si>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</si>
  <si>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</si>
  <si>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</si>
  <si>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</si>
  <si>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</si>
  <si>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</si>
  <si>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</si>
  <si>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</si>
  <si>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</si>
  <si>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</si>
  <si>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</si>
  <si>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</si>
  <si>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</si>
  <si>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</si>
  <si>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</si>
  <si>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</si>
  <si>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</si>
  <si>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</si>
  <si>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</si>
  <si>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</si>
  <si>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</si>
  <si>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</si>
  <si>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</si>
  <si>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</si>
  <si>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</si>
  <si>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</si>
  <si>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</si>
  <si>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</si>
  <si>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</si>
  <si>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</si>
  <si>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</si>
  <si>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</si>
  <si>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</si>
  <si>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</si>
  <si>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</si>
  <si>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</si>
  <si>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</si>
  <si>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</si>
  <si>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</si>
  <si>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</si>
  <si>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</si>
  <si>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</si>
  <si>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</si>
  <si>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</si>
  <si>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</si>
  <si>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</si>
  <si>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</si>
  <si>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</si>
  <si>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</si>
  <si>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</si>
  <si>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</si>
  <si>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</si>
  <si>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</si>
  <si>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</si>
  <si>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</si>
  <si>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</si>
  <si>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</si>
  <si>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</si>
  <si>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</si>
  <si>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</si>
  <si>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</si>
  <si>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</si>
  <si>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</si>
  <si>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</si>
  <si>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</si>
  <si>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</si>
  <si>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</si>
  <si>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</si>
  <si>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</si>
  <si>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</si>
  <si>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</si>
  <si>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</si>
  <si>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</si>
  <si>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</si>
  <si>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</si>
  <si>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</si>
  <si>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</si>
  <si>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</si>
  <si>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</si>
  <si>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</si>
  <si>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</si>
  <si>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</si>
  <si>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</si>
  <si>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</si>
  <si>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</si>
  <si>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</si>
  <si>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</si>
  <si>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</si>
  <si>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</si>
  <si>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</si>
  <si>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</si>
  <si>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</si>
  <si>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</si>
  <si>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</si>
  <si>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</si>
  <si>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</si>
  <si>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</si>
  <si>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</si>
  <si>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</si>
  <si>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</si>
  <si>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</si>
  <si>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</si>
  <si>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</si>
  <si>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</si>
  <si>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</si>
  <si>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</si>
  <si>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</si>
  <si>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</si>
  <si>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</si>
  <si>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</si>
  <si>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</si>
  <si>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</si>
  <si>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</si>
  <si>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</si>
  <si>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</si>
  <si>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</si>
  <si>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</si>
  <si>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</si>
  <si>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</si>
  <si>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</si>
  <si>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</si>
  <si>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</si>
  <si>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</si>
  <si>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</si>
  <si>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</si>
  <si>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</si>
  <si>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</si>
  <si>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</si>
  <si>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</si>
  <si>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</si>
  <si>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</si>
  <si>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</si>
  <si>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</si>
  <si>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</si>
  <si>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</si>
  <si>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</si>
  <si>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</si>
  <si>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</si>
  <si>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</si>
  <si>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</si>
  <si>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</si>
  <si>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</si>
  <si>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</si>
  <si>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</si>
  <si>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</si>
  <si>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</si>
  <si>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</si>
  <si>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</si>
  <si>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</si>
  <si>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</si>
  <si>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</si>
  <si>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</si>
  <si>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</si>
  <si>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</si>
  <si>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</si>
  <si>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</si>
  <si>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</si>
  <si>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</si>
  <si>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</si>
  <si>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</si>
  <si>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</si>
  <si>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</si>
  <si>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</si>
  <si>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</si>
  <si>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</si>
  <si>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</si>
  <si>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</si>
  <si>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</si>
  <si>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</si>
  <si>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</si>
  <si>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</si>
  <si>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</si>
  <si>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</si>
  <si>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</si>
  <si>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</si>
  <si>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</si>
  <si>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</si>
  <si>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</si>
  <si>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</si>
  <si>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</si>
  <si>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</si>
  <si>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</si>
  <si>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</si>
  <si>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</si>
  <si>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</si>
  <si>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</si>
  <si>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</si>
  <si>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</si>
  <si>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</si>
  <si>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</si>
  <si>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</si>
  <si>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</si>
  <si>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</si>
  <si>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</si>
  <si>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</si>
  <si>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</si>
  <si>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</si>
  <si>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</si>
  <si>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</si>
  <si>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</si>
  <si>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</si>
  <si>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</si>
  <si>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</si>
  <si>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</si>
  <si>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</si>
  <si>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</si>
  <si>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</si>
  <si>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</si>
  <si>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</si>
  <si>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</si>
  <si>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</si>
  <si>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</si>
  <si>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</si>
  <si>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</si>
  <si>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</si>
  <si>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</si>
  <si>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</si>
  <si>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</si>
  <si>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</si>
  <si>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</si>
  <si>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</si>
  <si>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</si>
  <si>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</si>
  <si>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</si>
  <si>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</si>
  <si>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</si>
  <si>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</si>
  <si>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</si>
  <si>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</si>
  <si>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</si>
  <si>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</si>
  <si>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</si>
  <si>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</si>
  <si>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</si>
  <si>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</si>
  <si>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</si>
  <si>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</si>
  <si>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</si>
  <si>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</si>
  <si>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</si>
  <si>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</si>
  <si>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</si>
  <si>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</si>
  <si>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</si>
  <si>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</si>
  <si>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</si>
  <si>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</si>
  <si>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</si>
  <si>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</si>
  <si>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</si>
  <si>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</si>
  <si>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</si>
  <si>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</si>
  <si>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</si>
  <si>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</si>
  <si>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</si>
  <si>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</si>
  <si>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</si>
  <si>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</si>
  <si>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</si>
  <si>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</si>
  <si>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</si>
  <si>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</si>
  <si>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</si>
  <si>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</si>
  <si>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</si>
  <si>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</si>
  <si>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</si>
  <si>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</si>
  <si>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</si>
  <si>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</si>
  <si>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</si>
  <si>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</si>
  <si>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</si>
  <si>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</si>
  <si>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</si>
  <si>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</si>
  <si>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</si>
  <si>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</si>
  <si>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</si>
  <si>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</si>
  <si>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</si>
  <si>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</si>
  <si>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</si>
  <si>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</si>
  <si>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</si>
  <si>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</si>
  <si>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</si>
  <si>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</si>
  <si>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</si>
  <si>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</si>
  <si>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</si>
  <si>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</si>
  <si>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</si>
  <si>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</si>
  <si>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</si>
  <si>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</si>
  <si>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</si>
  <si>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</si>
  <si>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</si>
  <si>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</si>
  <si>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</si>
  <si>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</si>
  <si>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</si>
  <si>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</si>
  <si>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</si>
  <si>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</si>
  <si>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</si>
  <si>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</si>
  <si>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</si>
  <si>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</si>
  <si>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</si>
  <si>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</si>
  <si>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</si>
  <si>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</si>
  <si>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</si>
  <si>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</si>
  <si>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</si>
  <si>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</si>
  <si>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</si>
  <si>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</si>
  <si>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</si>
  <si>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</si>
  <si>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</si>
  <si>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</si>
  <si>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</si>
  <si>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</si>
  <si>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</si>
  <si>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</si>
  <si>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</si>
  <si>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</si>
  <si>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</si>
  <si>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</si>
  <si>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</si>
  <si>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</si>
  <si>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</si>
  <si>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</si>
  <si>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</si>
  <si>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</si>
  <si>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</si>
  <si>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</si>
  <si>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</si>
  <si>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</si>
  <si>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</si>
  <si>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</si>
  <si>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</si>
  <si>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</si>
  <si>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</si>
  <si>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</si>
  <si>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</si>
  <si>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</si>
  <si>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</si>
  <si>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</si>
  <si>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</si>
  <si>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</si>
  <si>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</si>
  <si>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</si>
  <si>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</si>
  <si>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</si>
  <si>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</si>
  <si>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</si>
  <si>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</si>
  <si>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</si>
  <si>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</si>
  <si>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</si>
  <si>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</si>
  <si>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</si>
  <si>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</si>
  <si>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</si>
  <si>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</si>
  <si>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</si>
  <si>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</si>
  <si>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</si>
  <si>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</si>
  <si>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</si>
  <si>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</si>
  <si>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</si>
  <si>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</si>
  <si>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</si>
  <si>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</si>
  <si>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</si>
  <si>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</si>
  <si>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</si>
  <si>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</si>
  <si>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</si>
  <si>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</si>
  <si>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</si>
  <si>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</si>
  <si>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</si>
  <si>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</si>
  <si>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</si>
  <si>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</si>
  <si>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</si>
  <si>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</si>
  <si>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</si>
  <si>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</si>
  <si>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</si>
  <si>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</si>
  <si>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</si>
  <si>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</si>
  <si>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</si>
  <si>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</si>
  <si>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</si>
  <si>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</si>
  <si>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</si>
  <si>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</si>
  <si>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</si>
  <si>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</si>
  <si>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</si>
  <si>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</si>
  <si>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</si>
  <si>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</si>
  <si>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</si>
  <si>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</si>
  <si>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</si>
  <si>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</si>
  <si>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</si>
  <si>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</si>
  <si>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</si>
  <si>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</si>
  <si>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</si>
  <si>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</si>
  <si>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</si>
  <si>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</si>
  <si>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</si>
  <si>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</si>
  <si>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</si>
  <si>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</si>
  <si>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</si>
  <si>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</si>
  <si>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</si>
  <si>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</si>
  <si>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</si>
  <si>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</si>
  <si>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</si>
  <si>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</si>
  <si>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</si>
  <si>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</si>
  <si>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</si>
  <si>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</si>
  <si>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</si>
  <si>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</si>
  <si>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</si>
  <si>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</si>
  <si>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</si>
  <si>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</si>
  <si>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</si>
  <si>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</si>
  <si>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</si>
  <si>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</si>
  <si>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</si>
  <si>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</si>
  <si>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</si>
  <si>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</si>
  <si>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</si>
  <si>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</si>
  <si>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</si>
  <si>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</si>
  <si>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</si>
  <si>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</si>
  <si>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</si>
  <si>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</si>
  <si>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</si>
  <si>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</si>
  <si>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</si>
  <si>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</si>
  <si>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</si>
  <si>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</si>
  <si>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</si>
  <si>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</si>
  <si>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</si>
  <si>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</si>
  <si>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</si>
  <si>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</si>
  <si>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</si>
  <si>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</si>
  <si>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</si>
  <si>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</si>
  <si>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</si>
  <si>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</si>
  <si>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</si>
  <si>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</si>
  <si>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</si>
  <si>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</si>
  <si>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</si>
  <si>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</si>
  <si>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</si>
  <si>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</si>
  <si>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</si>
  <si>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</si>
  <si>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</si>
  <si>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</si>
  <si>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</si>
  <si>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</si>
  <si>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</si>
  <si>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</si>
  <si>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</si>
  <si>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</si>
  <si>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</si>
  <si>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</si>
  <si>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</si>
  <si>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</si>
  <si>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</si>
  <si>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</si>
  <si>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</si>
  <si>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</si>
  <si>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</si>
  <si>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</si>
  <si>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</si>
  <si>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</si>
  <si>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</si>
  <si>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</si>
  <si>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</si>
  <si>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</si>
  <si>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</si>
  <si>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</si>
  <si>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</si>
  <si>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</si>
  <si>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</si>
  <si>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</si>
  <si>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</si>
  <si>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</si>
  <si>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</si>
  <si>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</si>
  <si>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</si>
  <si>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</si>
  <si>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</si>
  <si>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</si>
  <si>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</si>
  <si>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</si>
  <si>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</si>
  <si>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</si>
  <si>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</si>
  <si>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</si>
  <si>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</si>
  <si>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</si>
  <si>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</si>
  <si>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</si>
  <si>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</si>
  <si>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</si>
  <si>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</si>
  <si>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</si>
  <si>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</si>
  <si>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</si>
  <si>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</si>
  <si>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</si>
  <si>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</si>
  <si>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</si>
  <si>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</si>
  <si>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</si>
  <si>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</si>
  <si>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</si>
  <si>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</si>
  <si>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</si>
  <si>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</si>
  <si>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</si>
  <si>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</si>
  <si>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</si>
  <si>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</si>
  <si>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</si>
  <si>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</si>
  <si>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</si>
  <si>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</si>
  <si>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</si>
  <si>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</si>
  <si>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</si>
  <si>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</si>
  <si>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</si>
  <si>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</si>
  <si>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</si>
  <si>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</si>
  <si>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</si>
  <si>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</si>
  <si>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</si>
  <si>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</si>
  <si>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</si>
  <si>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</si>
  <si>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</si>
  <si>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</si>
  <si>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</si>
  <si>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</si>
  <si>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</si>
  <si>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</si>
  <si>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</si>
  <si>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</si>
  <si>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</si>
  <si>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</si>
  <si>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</si>
  <si>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</si>
  <si>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</si>
  <si>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</si>
  <si>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</si>
  <si>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</si>
  <si>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</si>
  <si>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</si>
  <si>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</si>
  <si>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</si>
  <si>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</si>
  <si>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</si>
  <si>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</si>
  <si>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</si>
  <si>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</si>
  <si>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</si>
  <si>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</si>
  <si>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</si>
  <si>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</si>
  <si>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</si>
  <si>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</si>
  <si>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</si>
  <si>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</si>
  <si>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</si>
  <si>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</si>
  <si>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</si>
  <si>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</si>
  <si>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</si>
  <si>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</si>
  <si>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</si>
  <si>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</si>
  <si>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</si>
  <si>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</si>
  <si>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</si>
  <si>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</si>
  <si>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</si>
  <si>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</si>
  <si>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</si>
  <si>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</si>
  <si>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</si>
  <si>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</si>
  <si>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</si>
  <si>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</si>
  <si>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</si>
  <si>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</si>
  <si>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</si>
  <si>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</si>
  <si>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</si>
  <si>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</si>
  <si>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</si>
  <si>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</si>
  <si>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</si>
  <si>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</si>
  <si>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</si>
  <si>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</si>
  <si>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</si>
  <si>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</si>
  <si>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</si>
  <si>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</si>
  <si>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</si>
  <si>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</si>
  <si>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</si>
  <si>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</si>
  <si>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</si>
  <si>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</si>
  <si>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</si>
  <si>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</si>
  <si>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</si>
  <si>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</si>
  <si>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</si>
  <si>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</si>
  <si>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</si>
  <si>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</si>
  <si>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</si>
  <si>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</si>
  <si>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</si>
  <si>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</si>
  <si>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</si>
  <si>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</si>
  <si>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</si>
  <si>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</si>
  <si>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</si>
  <si>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</si>
  <si>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</si>
  <si>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</si>
  <si>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</si>
  <si>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</si>
  <si>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</si>
  <si>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</si>
  <si>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</si>
  <si>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</si>
  <si>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</si>
  <si>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</si>
  <si>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</si>
  <si>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</si>
  <si>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</si>
  <si>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</si>
  <si>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</si>
  <si>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</si>
  <si>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</si>
  <si>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</si>
  <si>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</si>
  <si>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</si>
  <si>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</si>
  <si>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</si>
  <si>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</si>
  <si>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</si>
  <si>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</si>
  <si>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</si>
  <si>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</si>
  <si>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</si>
  <si>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</si>
  <si>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</si>
  <si>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</si>
  <si>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</si>
  <si>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</si>
  <si>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</si>
  <si>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</si>
  <si>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</si>
  <si>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</si>
  <si>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</si>
  <si>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</si>
  <si>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</si>
  <si>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</si>
  <si>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</si>
  <si>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</si>
  <si>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</si>
  <si>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</si>
  <si>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</si>
  <si>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</si>
  <si>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</si>
  <si>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</si>
  <si>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</si>
  <si>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</si>
  <si>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</si>
  <si>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</si>
  <si>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</si>
  <si>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</si>
  <si>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</si>
  <si>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</si>
  <si>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</si>
  <si>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</si>
  <si>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</si>
  <si>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</si>
  <si>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</si>
  <si>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</si>
  <si>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</si>
  <si>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</si>
  <si>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</si>
  <si>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</si>
  <si>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</si>
  <si>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</si>
  <si>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</si>
  <si>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</si>
  <si>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</si>
  <si>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</si>
  <si>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</si>
  <si>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</si>
  <si>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</si>
  <si>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</si>
  <si>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</si>
  <si>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</si>
  <si>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</si>
  <si>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</si>
  <si>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</si>
  <si>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</si>
  <si>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</si>
  <si>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</si>
  <si>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</si>
  <si>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</si>
  <si>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</si>
  <si>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</si>
  <si>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</si>
  <si>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</si>
  <si>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</si>
  <si>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</si>
  <si>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</si>
  <si>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</si>
  <si>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</si>
  <si>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</si>
  <si>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</si>
  <si>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</si>
  <si>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</si>
  <si>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</si>
  <si>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</si>
  <si>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</si>
  <si>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</si>
  <si>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</si>
  <si>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</si>
  <si>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</si>
  <si>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</si>
  <si>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</si>
  <si>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</si>
  <si>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</si>
  <si>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</si>
  <si>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</si>
  <si>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</si>
  <si>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</si>
  <si>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</si>
  <si>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</si>
  <si>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</si>
  <si>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</si>
  <si>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</si>
  <si>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</si>
  <si>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</si>
  <si>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</si>
  <si>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</si>
  <si>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</si>
  <si>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</si>
  <si>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</si>
  <si>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</si>
  <si>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</si>
  <si>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</si>
  <si>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</si>
  <si>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</si>
  <si>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</si>
  <si>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</si>
  <si>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</si>
  <si>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</si>
  <si>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</si>
  <si>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</si>
  <si>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</si>
  <si>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</si>
  <si>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</si>
  <si>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</si>
  <si>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</si>
  <si>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</si>
  <si>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</si>
  <si>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</si>
  <si>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</si>
  <si>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</si>
  <si>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</si>
  <si>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</si>
  <si>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</si>
  <si>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</si>
  <si>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</si>
  <si>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</si>
  <si>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</si>
  <si>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</si>
  <si>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</si>
  <si>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</si>
  <si>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</si>
  <si>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</si>
  <si>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</si>
  <si>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</si>
  <si>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</si>
  <si>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</si>
  <si>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</si>
  <si>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</si>
  <si>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</si>
  <si>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</si>
  <si>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</si>
  <si>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</si>
  <si>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</si>
  <si>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</si>
  <si>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</si>
  <si>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</si>
  <si>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</si>
  <si>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</si>
  <si>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</si>
  <si>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</si>
  <si>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</si>
  <si>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</si>
  <si>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</si>
  <si>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</si>
  <si>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</si>
  <si>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</si>
  <si>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</si>
  <si>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</si>
  <si>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</si>
  <si>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</si>
  <si>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</si>
  <si>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</si>
  <si>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</si>
  <si>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</si>
  <si>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</si>
  <si>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</si>
  <si>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</si>
  <si>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</si>
  <si>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</si>
  <si>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</si>
  <si>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</si>
  <si>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</si>
  <si>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</si>
  <si>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</si>
  <si>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</si>
  <si>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</si>
  <si>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</si>
  <si>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</si>
  <si>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</si>
  <si>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</si>
  <si>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</si>
  <si>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</si>
  <si>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</si>
  <si>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</si>
  <si>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</si>
  <si>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</si>
  <si>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</si>
  <si>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</si>
  <si>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</si>
  <si>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</si>
  <si>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</si>
  <si>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</si>
  <si>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</si>
  <si>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</si>
  <si>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</si>
  <si>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</si>
  <si>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</si>
  <si>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</si>
  <si>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</si>
  <si>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</si>
  <si>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</si>
  <si>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</si>
  <si>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</si>
  <si>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</si>
  <si>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</si>
  <si>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</si>
  <si>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</si>
  <si>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</si>
  <si>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</si>
  <si>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</si>
  <si>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</si>
  <si>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</si>
  <si>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</si>
  <si>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</si>
  <si>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</si>
  <si>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</si>
  <si>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</si>
  <si>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</si>
  <si>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</si>
  <si>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</si>
  <si>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</si>
  <si>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</si>
  <si>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</si>
  <si>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</si>
  <si>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</si>
  <si>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</si>
  <si>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</si>
  <si>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</si>
  <si>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</si>
  <si>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</si>
  <si>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</si>
  <si>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</si>
  <si>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</si>
  <si>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</si>
  <si>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</si>
  <si>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</si>
  <si>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</si>
  <si>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</si>
  <si>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</si>
  <si>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</si>
  <si>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</si>
  <si>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</si>
  <si>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</si>
  <si>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</si>
  <si>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</si>
  <si>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</si>
  <si>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</si>
  <si>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</si>
  <si>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</si>
  <si>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</si>
  <si>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</si>
  <si>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</si>
  <si>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</si>
  <si>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</si>
  <si>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</si>
  <si>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</si>
  <si>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</si>
  <si>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</si>
  <si>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</si>
  <si>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</si>
  <si>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</si>
  <si>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</si>
  <si>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</si>
  <si>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</si>
  <si>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</si>
  <si>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</si>
  <si>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</si>
  <si>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</si>
  <si>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</si>
  <si>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</si>
  <si>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</si>
  <si>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</si>
  <si>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</si>
  <si>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</si>
  <si>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</si>
  <si>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</si>
  <si>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</si>
  <si>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</si>
  <si>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</si>
  <si>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</si>
  <si>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</si>
  <si>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</si>
  <si>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</si>
  <si>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</si>
  <si>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</si>
  <si>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</si>
  <si>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</si>
  <si>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</si>
  <si>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</si>
  <si>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</si>
  <si>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</si>
  <si>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</si>
  <si>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</si>
  <si>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</si>
  <si>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</si>
  <si>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</si>
  <si>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</si>
  <si>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</si>
  <si>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</si>
  <si>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</si>
  <si>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</si>
  <si>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</si>
  <si>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</si>
  <si>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</si>
  <si>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</si>
  <si>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</si>
  <si>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</si>
  <si>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</si>
  <si>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</si>
  <si>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</si>
  <si>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</si>
  <si>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</si>
  <si>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</si>
  <si>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</si>
  <si>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</si>
  <si>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</si>
  <si>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</si>
  <si>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</si>
  <si>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</si>
  <si>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</si>
  <si>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</si>
  <si>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</si>
  <si>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</si>
  <si>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</si>
  <si>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</si>
  <si>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</si>
  <si>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</si>
  <si>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</si>
  <si>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</si>
  <si>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</si>
  <si>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</si>
  <si>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</si>
  <si>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</si>
  <si>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</si>
  <si>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</si>
  <si>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</si>
  <si>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</si>
  <si>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</si>
  <si>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</si>
  <si>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</si>
  <si>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</si>
  <si>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</si>
  <si>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</si>
  <si>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</si>
  <si>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</si>
  <si>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</si>
  <si>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</si>
  <si>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</si>
  <si>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</si>
  <si>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</si>
  <si>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</si>
  <si>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</si>
  <si>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</si>
  <si>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</si>
  <si>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</si>
  <si>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</si>
  <si>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</si>
  <si>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</si>
  <si>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</si>
  <si>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</si>
  <si>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</si>
  <si>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</si>
  <si>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</si>
  <si>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</si>
  <si>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</si>
  <si>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</si>
  <si>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</si>
  <si>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</si>
  <si>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</si>
  <si>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</si>
  <si>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</si>
  <si>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</si>
  <si>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</si>
  <si>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</si>
  <si>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</si>
  <si>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</si>
  <si>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</si>
  <si>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</si>
  <si>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</si>
  <si>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</si>
  <si>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</si>
  <si>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</si>
  <si>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</si>
  <si>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</si>
  <si>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</si>
  <si>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</si>
  <si>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</si>
  <si>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</si>
  <si>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</si>
  <si>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</si>
  <si>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</si>
  <si>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</si>
  <si>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</si>
  <si>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</si>
  <si>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</si>
  <si>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</si>
  <si>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</si>
  <si>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</si>
  <si>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</si>
  <si>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</si>
  <si>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</si>
  <si>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</si>
  <si>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</si>
  <si>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</si>
  <si>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</si>
  <si>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</si>
  <si>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</si>
  <si>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</si>
  <si>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</si>
  <si>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</si>
  <si>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</si>
  <si>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</si>
  <si>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</si>
  <si>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</si>
  <si>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</si>
  <si>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</si>
  <si>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</si>
  <si>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</si>
  <si>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</si>
  <si>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</si>
  <si>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</si>
  <si>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</si>
  <si>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</si>
  <si>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</si>
  <si>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</si>
  <si>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</si>
  <si>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</si>
  <si>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</si>
  <si>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</si>
  <si>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</si>
  <si>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</si>
  <si>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</si>
  <si>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</si>
  <si>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</si>
  <si>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</si>
  <si>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</si>
  <si>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</si>
  <si>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</si>
  <si>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</si>
  <si>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</si>
  <si>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</si>
  <si>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</si>
  <si>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</si>
  <si>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</si>
  <si>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</si>
  <si>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</si>
  <si>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</si>
  <si>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</si>
  <si>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</si>
  <si>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</si>
  <si>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</si>
  <si>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</si>
  <si>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</si>
  <si>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</si>
  <si>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</si>
  <si>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</si>
  <si>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</si>
  <si>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</si>
  <si>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</si>
  <si>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</si>
  <si>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</si>
  <si>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</si>
  <si>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</si>
  <si>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</si>
  <si>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</si>
  <si>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</si>
  <si>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</si>
  <si>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</si>
  <si>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</si>
  <si>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</si>
  <si>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</si>
  <si>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</si>
  <si>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</si>
  <si>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</si>
  <si>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</si>
  <si>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</si>
  <si>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</si>
  <si>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</si>
  <si>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</si>
  <si>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</si>
  <si>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</si>
  <si>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</si>
  <si>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</si>
  <si>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</si>
  <si>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</si>
  <si>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</si>
  <si>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</si>
  <si>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</si>
  <si>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</si>
  <si>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</si>
  <si>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</si>
  <si>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</si>
  <si>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</si>
  <si>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</si>
  <si>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</si>
  <si>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</si>
  <si>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</si>
  <si>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</si>
  <si>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</si>
  <si>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</si>
  <si>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</si>
  <si>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</si>
  <si>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</si>
  <si>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</si>
  <si>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</si>
  <si>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</si>
  <si>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</si>
  <si>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</si>
  <si>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</si>
  <si>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</si>
  <si>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</si>
  <si>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</si>
  <si>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</si>
  <si>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</si>
  <si>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</si>
  <si>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</si>
  <si>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</si>
  <si>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</si>
  <si>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</si>
  <si>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</si>
  <si>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</si>
  <si>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</si>
  <si>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</si>
  <si>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</si>
  <si>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</si>
  <si>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</si>
  <si>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</si>
  <si>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</si>
  <si>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</si>
  <si>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</si>
  <si>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</si>
  <si>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</si>
  <si>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</si>
  <si>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</si>
  <si>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</si>
  <si>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</si>
  <si>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</si>
  <si>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</si>
  <si>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</si>
  <si>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</si>
  <si>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</si>
  <si>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</si>
  <si>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</si>
  <si>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</si>
  <si>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</si>
  <si>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</si>
  <si>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</si>
  <si>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</si>
  <si>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</si>
  <si>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</si>
  <si>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</si>
  <si>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</si>
  <si>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</si>
  <si>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</si>
  <si>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</si>
  <si>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</si>
  <si>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</si>
  <si>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</si>
  <si>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</si>
  <si>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</si>
  <si>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</si>
  <si>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</si>
  <si>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</si>
  <si>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</si>
  <si>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</si>
  <si>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</si>
  <si>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</si>
  <si>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</si>
  <si>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</si>
  <si>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</si>
  <si>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</si>
  <si>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</si>
  <si>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</si>
  <si>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</si>
  <si>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</si>
  <si>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</si>
  <si>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</si>
  <si>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</si>
  <si>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</si>
  <si>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</si>
  <si>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</si>
  <si>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</si>
  <si>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</si>
  <si>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</si>
  <si>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</si>
  <si>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</si>
  <si>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</si>
  <si>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</si>
  <si>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</si>
  <si>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</si>
  <si>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</si>
  <si>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</si>
  <si>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</si>
  <si>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</si>
  <si>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</si>
  <si>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</si>
  <si>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</si>
  <si>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</si>
  <si>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</si>
  <si>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</si>
  <si>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</si>
  <si>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</si>
  <si>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</si>
  <si>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</si>
  <si>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</si>
  <si>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</si>
  <si>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</si>
  <si>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</si>
  <si>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</si>
  <si>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</si>
  <si>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</si>
  <si>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</si>
  <si>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</si>
  <si>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</si>
  <si>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</si>
  <si>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</si>
  <si>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</si>
  <si>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</si>
  <si>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</si>
  <si>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</si>
  <si>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</si>
  <si>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</si>
  <si>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</si>
  <si>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</si>
  <si>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</si>
  <si>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</si>
  <si>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</si>
  <si>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</si>
  <si>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</si>
  <si>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</si>
  <si>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</si>
  <si>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</si>
  <si>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</si>
  <si>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</si>
  <si>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</si>
  <si>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</si>
  <si>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</si>
  <si>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</si>
  <si>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</si>
  <si>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</si>
  <si>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</si>
  <si>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</si>
  <si>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</si>
  <si>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</si>
  <si>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</si>
  <si>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</si>
  <si>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</si>
  <si>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</si>
  <si>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</si>
  <si>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</si>
  <si>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</si>
  <si>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</si>
  <si>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</si>
  <si>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</si>
  <si>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</si>
  <si>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</si>
  <si>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</si>
  <si>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</si>
  <si>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</si>
  <si>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</si>
  <si>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</si>
  <si>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</si>
  <si>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</si>
  <si>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</si>
  <si>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</si>
  <si>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</si>
  <si>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</si>
  <si>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</si>
  <si>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</si>
  <si>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</si>
  <si>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</si>
  <si>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</si>
  <si>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</si>
  <si>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</si>
  <si>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</si>
  <si>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</si>
  <si>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</si>
  <si>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</si>
  <si>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</si>
  <si>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</si>
  <si>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</si>
  <si>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</si>
  <si>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</si>
  <si>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</si>
  <si>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</si>
  <si>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</si>
  <si>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</si>
  <si>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</si>
  <si>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</si>
  <si>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</si>
  <si>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</si>
  <si>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</si>
  <si>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</si>
  <si>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</si>
  <si>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</si>
  <si>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</si>
  <si>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</si>
  <si>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</si>
  <si>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</si>
  <si>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</si>
  <si>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</si>
  <si>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</si>
  <si>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</si>
  <si>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</si>
  <si>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</si>
  <si>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</si>
  <si>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</si>
  <si>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</si>
  <si>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</si>
  <si>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</si>
  <si>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</si>
  <si>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</si>
  <si>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</si>
  <si>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</si>
  <si>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</si>
  <si>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</si>
  <si>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</si>
  <si>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</si>
  <si>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</si>
  <si>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</si>
  <si>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</si>
  <si>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</si>
  <si>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</si>
  <si>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</si>
  <si>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</si>
  <si>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</si>
  <si>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</si>
  <si>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</si>
  <si>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</si>
  <si>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</si>
  <si>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</si>
  <si>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</si>
  <si>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</si>
  <si>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</si>
  <si>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</si>
  <si>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</si>
  <si>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</si>
  <si>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</si>
  <si>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</si>
  <si>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</si>
  <si>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</si>
  <si>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</si>
  <si>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</si>
  <si>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</si>
  <si>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</si>
  <si>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</si>
  <si>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</si>
  <si>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</si>
  <si>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</si>
  <si>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</si>
  <si>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</si>
  <si>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</si>
  <si>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</si>
  <si>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</si>
  <si>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</si>
  <si>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</si>
  <si>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</si>
  <si>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</si>
  <si>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</si>
  <si>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</si>
  <si>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</si>
  <si>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</si>
  <si>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</si>
  <si>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</si>
  <si>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</si>
  <si>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</si>
  <si>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</si>
  <si>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</si>
  <si>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</si>
  <si>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</si>
  <si>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</si>
  <si>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</si>
  <si>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</si>
  <si>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</si>
  <si>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</si>
  <si>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</si>
  <si>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</si>
  <si>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</si>
  <si>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</si>
  <si>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</si>
  <si>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</si>
  <si>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</si>
  <si>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</si>
  <si>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</si>
  <si>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</si>
  <si>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</si>
  <si>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</si>
  <si>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</si>
  <si>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</si>
  <si>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</si>
  <si>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</si>
  <si>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</si>
  <si>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</si>
  <si>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</si>
  <si>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</si>
  <si>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</si>
  <si>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</si>
  <si>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</si>
  <si>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</si>
  <si>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</si>
  <si>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</si>
  <si>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</si>
  <si>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</si>
  <si>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</si>
  <si>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</si>
  <si>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</si>
  <si>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</si>
  <si>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</si>
  <si>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</si>
  <si>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</si>
  <si>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</si>
  <si>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</si>
  <si>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</si>
  <si>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</si>
  <si>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</si>
  <si>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</si>
  <si>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</si>
  <si>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</si>
  <si>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</si>
  <si>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</si>
  <si>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</si>
  <si>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</si>
  <si>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</si>
  <si>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</si>
  <si>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</si>
  <si>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</si>
  <si>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</si>
  <si>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</si>
  <si>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</si>
  <si>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</si>
  <si>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</si>
  <si>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</si>
  <si>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</si>
  <si>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</si>
  <si>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</si>
  <si>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</si>
  <si>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</si>
  <si>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</si>
  <si>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</si>
  <si>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</si>
  <si>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</si>
  <si>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</si>
  <si>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</si>
  <si>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</si>
  <si>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</si>
  <si>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</si>
  <si>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</si>
  <si>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</si>
  <si>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</si>
  <si>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</si>
  <si>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</si>
  <si>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</si>
  <si>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</si>
  <si>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</si>
  <si>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</si>
  <si>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</si>
  <si>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</si>
  <si>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</si>
  <si>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</si>
  <si>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</si>
  <si>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</si>
  <si>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</si>
  <si>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</si>
  <si>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</si>
  <si>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</si>
  <si>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</si>
  <si>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</si>
  <si>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</si>
  <si>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</si>
  <si>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</si>
  <si>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</si>
  <si>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</si>
  <si>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</si>
  <si>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</si>
  <si>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</si>
  <si>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</si>
  <si>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</si>
  <si>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</si>
  <si>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</si>
  <si>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</si>
  <si>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</si>
  <si>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</si>
  <si>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</si>
  <si>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</si>
  <si>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</si>
  <si>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</si>
  <si>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</si>
  <si>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</si>
  <si>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</si>
  <si>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</si>
  <si>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</si>
  <si>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</si>
  <si>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</si>
  <si>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</si>
  <si>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</si>
  <si>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</si>
  <si>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</si>
  <si>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</si>
  <si>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</si>
  <si>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</si>
  <si>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</si>
  <si>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</si>
  <si>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</si>
  <si>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</si>
  <si>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</si>
  <si>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</si>
  <si>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</si>
  <si>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</si>
  <si>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</si>
  <si>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</si>
  <si>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</si>
  <si>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</si>
  <si>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</si>
  <si>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</si>
  <si>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</si>
  <si>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</si>
  <si>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</si>
  <si>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</si>
  <si>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</si>
  <si>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</si>
  <si>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</si>
  <si>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</si>
  <si>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</si>
  <si>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</si>
  <si>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</si>
  <si>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</si>
  <si>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</si>
  <si>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</si>
  <si>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</si>
  <si>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</si>
  <si>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</si>
  <si>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</si>
  <si>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</si>
  <si>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</si>
  <si>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</si>
  <si>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</si>
  <si>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</si>
  <si>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</si>
  <si>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</si>
  <si>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</si>
  <si>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</si>
  <si>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</si>
  <si>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</si>
  <si>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</si>
  <si>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</si>
  <si>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</si>
  <si>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</si>
  <si>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</si>
  <si>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</si>
  <si>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</si>
  <si>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</si>
  <si>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</si>
  <si>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</si>
  <si>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</si>
  <si>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</si>
  <si>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</si>
  <si>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</si>
  <si>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</si>
  <si>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</si>
  <si>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</si>
  <si>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</si>
  <si>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</si>
  <si>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</si>
  <si>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</si>
  <si>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</si>
  <si>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</si>
  <si>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</si>
  <si>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</si>
  <si>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</si>
  <si>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</si>
  <si>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</si>
  <si>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</si>
  <si>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</si>
  <si>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</si>
  <si>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</si>
  <si>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</si>
  <si>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</si>
  <si>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</si>
  <si>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</si>
  <si>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</si>
  <si>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</si>
  <si>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</si>
  <si>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</si>
  <si>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</si>
  <si>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</si>
  <si>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</si>
  <si>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</si>
  <si>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</si>
  <si>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</si>
  <si>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</si>
  <si>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</si>
  <si>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</si>
  <si>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</si>
  <si>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</si>
  <si>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</si>
  <si>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</si>
  <si>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</si>
  <si>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</si>
  <si>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</si>
  <si>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</si>
  <si>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</si>
  <si>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</si>
  <si>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</si>
  <si>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</si>
  <si>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</si>
  <si>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</si>
  <si>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</si>
  <si>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</si>
  <si>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</si>
  <si>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</si>
  <si>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</si>
  <si>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</si>
  <si>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</si>
  <si>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</si>
  <si>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</si>
  <si>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</si>
  <si>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</si>
  <si>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</si>
  <si>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</si>
  <si>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</si>
  <si>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</si>
  <si>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</si>
  <si>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</si>
  <si>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</si>
  <si>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</si>
  <si>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</si>
  <si>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</si>
  <si>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</si>
  <si>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</si>
  <si>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</si>
  <si>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</si>
  <si>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</si>
  <si>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</si>
  <si>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</si>
  <si>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</si>
  <si>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</si>
  <si>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</si>
  <si>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</si>
  <si>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</si>
  <si>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</si>
  <si>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</si>
  <si>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</si>
  <si>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</si>
  <si>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</si>
  <si>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</si>
  <si>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</si>
  <si>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</si>
  <si>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</si>
  <si>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</si>
  <si>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</si>
  <si>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</si>
  <si>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</si>
  <si>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</si>
  <si>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</si>
  <si>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</si>
  <si>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</si>
  <si>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</si>
  <si>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</si>
  <si>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</si>
  <si>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</si>
  <si>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</si>
  <si>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</si>
  <si>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</si>
  <si>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</si>
  <si>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</si>
  <si>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</si>
  <si>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</si>
  <si>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</si>
  <si>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</si>
  <si>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</si>
  <si>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</si>
  <si>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</si>
  <si>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</si>
  <si>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</si>
  <si>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</si>
  <si>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</si>
  <si>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</si>
  <si>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</si>
  <si>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</si>
  <si>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</si>
  <si>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</si>
  <si>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</si>
  <si>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</si>
  <si>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</si>
  <si>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</si>
  <si>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</si>
  <si>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</si>
  <si>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</si>
  <si>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</si>
  <si>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</si>
  <si>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</si>
  <si>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</si>
  <si>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</si>
  <si>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</si>
  <si>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</si>
  <si>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</si>
  <si>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</si>
  <si>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</si>
  <si>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</si>
  <si>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</si>
  <si>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</si>
  <si>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</si>
  <si>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</si>
  <si>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</si>
  <si>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</si>
  <si>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</si>
  <si>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</si>
  <si>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</si>
  <si>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</si>
  <si>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</si>
  <si>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</si>
  <si>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</si>
  <si>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</si>
  <si>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</si>
  <si>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</si>
  <si>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</si>
  <si>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</si>
  <si>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</si>
  <si>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</si>
  <si>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</si>
  <si>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</si>
  <si>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</si>
  <si>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</si>
  <si>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</si>
  <si>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</si>
  <si>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</si>
  <si>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</si>
  <si>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</si>
  <si>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</si>
  <si>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</si>
  <si>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</si>
  <si>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</si>
  <si>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</si>
  <si>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</si>
  <si>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</si>
  <si>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</si>
  <si>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</si>
  <si>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</si>
  <si>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</si>
  <si>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</si>
  <si>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</si>
  <si>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</si>
  <si>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</si>
  <si>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</si>
  <si>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</si>
  <si>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</si>
  <si>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</si>
  <si>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</si>
  <si>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</si>
  <si>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</si>
  <si>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</si>
  <si>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</si>
  <si>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</si>
  <si>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</si>
  <si>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</si>
  <si>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</si>
  <si>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</si>
  <si>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</si>
  <si>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</si>
  <si>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</si>
  <si>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</si>
  <si>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</si>
  <si>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</si>
  <si>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</si>
  <si>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</si>
  <si>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</si>
  <si>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</si>
  <si>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</si>
  <si>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</si>
  <si>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</si>
  <si>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</si>
  <si>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</si>
  <si>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</si>
  <si>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</si>
  <si>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</si>
  <si>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</si>
  <si>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</si>
  <si>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</si>
  <si>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</si>
  <si>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</si>
  <si>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</si>
  <si>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</si>
  <si>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</si>
  <si>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</si>
  <si>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</si>
  <si>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</si>
  <si>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</si>
  <si>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</si>
  <si>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</si>
  <si>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</si>
  <si>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</si>
  <si>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</si>
  <si>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</si>
  <si>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</si>
  <si>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</si>
  <si>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</si>
  <si>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</si>
  <si>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</si>
  <si>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</si>
  <si>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</si>
  <si>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</si>
  <si>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</si>
  <si>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</si>
  <si>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</si>
  <si>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</si>
  <si>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</si>
  <si>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</si>
  <si>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</si>
  <si>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</si>
  <si>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</si>
  <si>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</si>
  <si>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</si>
  <si>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</si>
  <si>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</si>
  <si>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</si>
  <si>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</si>
  <si>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</si>
  <si>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</si>
  <si>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</si>
  <si>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</si>
  <si>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</si>
  <si>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</si>
  <si>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</si>
  <si>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</si>
  <si>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</si>
  <si>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</si>
  <si>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</si>
  <si>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</si>
  <si>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</si>
  <si>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</si>
  <si>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</si>
  <si>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</si>
  <si>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</si>
  <si>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</si>
  <si>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</si>
  <si>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</si>
  <si>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</si>
  <si>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</si>
  <si>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</si>
  <si>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</si>
  <si>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</si>
  <si>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</si>
  <si>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</si>
  <si>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</si>
  <si>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</si>
  <si>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</si>
  <si>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</si>
  <si>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</si>
  <si>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</si>
  <si>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</si>
  <si>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</si>
  <si>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</si>
  <si>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</si>
  <si>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</si>
  <si>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</si>
  <si>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</si>
  <si>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</si>
  <si>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</si>
  <si>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</si>
  <si>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</si>
  <si>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</si>
  <si>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</si>
  <si>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</si>
  <si>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</si>
  <si>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</si>
  <si>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</si>
  <si>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</si>
  <si>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</si>
  <si>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</si>
  <si>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</si>
  <si>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</si>
  <si>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</si>
  <si>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</si>
  <si>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</si>
  <si>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</si>
  <si>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</si>
  <si>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</si>
  <si>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</si>
  <si>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</si>
  <si>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</si>
  <si>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</si>
  <si>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</si>
  <si>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</si>
  <si>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</si>
  <si>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</si>
  <si>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</si>
  <si>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</si>
  <si>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</si>
  <si>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</si>
  <si>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</si>
  <si>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</si>
  <si>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</si>
  <si>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</si>
  <si>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</si>
  <si>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</si>
  <si>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</si>
  <si>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</si>
  <si>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</si>
  <si>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</si>
  <si>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</si>
  <si>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</si>
  <si>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</si>
  <si>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</si>
  <si>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</si>
  <si>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</si>
  <si>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</si>
  <si>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</si>
  <si>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</si>
  <si>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</si>
  <si>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</si>
  <si>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</si>
  <si>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</si>
  <si>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</si>
  <si>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</si>
  <si>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</si>
  <si>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</si>
  <si>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</si>
  <si>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</si>
  <si>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</si>
  <si>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</si>
  <si>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</si>
  <si>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</si>
  <si>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</si>
  <si>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</si>
  <si>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</si>
  <si>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</si>
  <si>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</si>
  <si>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</si>
  <si>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</si>
  <si>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</si>
  <si>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</si>
  <si>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</si>
  <si>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</si>
  <si>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</si>
  <si>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</si>
  <si>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</si>
  <si>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</si>
  <si>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</si>
  <si>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</si>
  <si>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</si>
  <si>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</si>
  <si>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</si>
  <si>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</si>
  <si>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</si>
  <si>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</si>
  <si>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</si>
  <si>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</si>
  <si>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</si>
  <si>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</si>
  <si>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</si>
  <si>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</si>
  <si>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</si>
  <si>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</si>
  <si>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</si>
  <si>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</si>
  <si>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</si>
  <si>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</si>
  <si>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</si>
  <si>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</si>
  <si>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</si>
  <si>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</si>
  <si>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</si>
  <si>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</si>
  <si>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</si>
  <si>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</si>
  <si>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</si>
  <si>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</si>
  <si>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</si>
  <si>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</si>
  <si>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</si>
  <si>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</si>
  <si>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</si>
  <si>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</si>
  <si>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</si>
  <si>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</si>
  <si>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</si>
  <si>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</si>
  <si>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</si>
  <si>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</si>
  <si>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</si>
  <si>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</si>
  <si>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</si>
  <si>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</si>
  <si>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</si>
  <si>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</si>
  <si>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</si>
  <si>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</si>
  <si>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</si>
  <si>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</si>
  <si>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</si>
  <si>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</si>
  <si>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</si>
  <si>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</si>
  <si>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</si>
  <si>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</si>
  <si>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</si>
  <si>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</si>
  <si>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</si>
  <si>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</si>
  <si>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</si>
  <si>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</si>
  <si>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</si>
  <si>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</si>
  <si>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</si>
  <si>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</si>
  <si>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</si>
  <si>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</si>
  <si>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</si>
  <si>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</si>
  <si>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</si>
  <si>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</si>
  <si>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</si>
  <si>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</si>
  <si>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</si>
  <si>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</si>
  <si>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</si>
  <si>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</si>
  <si>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</si>
  <si>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</si>
  <si>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</si>
  <si>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</si>
  <si>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</si>
  <si>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</si>
  <si>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</si>
  <si>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</si>
  <si>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</si>
  <si>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</si>
  <si>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</si>
  <si>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</si>
  <si>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</si>
  <si>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</si>
  <si>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</si>
  <si>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</si>
  <si>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</si>
  <si>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</si>
  <si>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</si>
  <si>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</si>
  <si>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</si>
  <si>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</si>
  <si>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</si>
  <si>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</si>
  <si>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</si>
  <si>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</si>
  <si>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</si>
  <si>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</si>
  <si>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</si>
  <si>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</si>
  <si>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</si>
  <si>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</si>
  <si>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</si>
  <si>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</si>
  <si>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</si>
  <si>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</si>
  <si>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</si>
  <si>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</si>
  <si>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</si>
  <si>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</si>
  <si>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</si>
  <si>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</si>
  <si>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</si>
  <si>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</si>
  <si>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</si>
  <si>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</si>
  <si>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</si>
  <si>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</si>
  <si>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</si>
  <si>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</si>
  <si>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</si>
  <si>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</si>
  <si>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</si>
  <si>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</si>
  <si>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</si>
  <si>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</si>
  <si>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</si>
  <si>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</si>
  <si>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</si>
  <si>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</si>
  <si>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</si>
  <si>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</si>
  <si>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</si>
  <si>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</si>
  <si>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</si>
  <si>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</si>
  <si>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</si>
  <si>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</si>
  <si>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</si>
  <si>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</si>
  <si>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</si>
  <si>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</si>
  <si>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</si>
  <si>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</si>
  <si>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</si>
  <si>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</si>
  <si>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</si>
  <si>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</si>
  <si>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</si>
  <si>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</si>
  <si>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</si>
  <si>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</si>
  <si>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</si>
  <si>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</si>
  <si>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</si>
  <si>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</si>
  <si>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</si>
  <si>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</si>
  <si>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</si>
  <si>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</si>
  <si>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</si>
  <si>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</si>
  <si>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</si>
  <si>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</si>
  <si>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</si>
  <si>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</si>
  <si>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</si>
  <si>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</si>
  <si>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</si>
  <si>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</si>
  <si>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</si>
  <si>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</si>
  <si>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</si>
  <si>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</si>
  <si>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</si>
  <si>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</si>
  <si>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</si>
  <si>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</si>
  <si>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</si>
  <si>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</si>
  <si>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</si>
  <si>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</si>
  <si>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</si>
  <si>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</si>
  <si>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</si>
  <si>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</si>
  <si>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</si>
  <si>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</si>
  <si>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</si>
  <si>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</si>
  <si>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</si>
  <si>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</si>
  <si>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</si>
  <si>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</si>
  <si>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</si>
  <si>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</si>
  <si>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</si>
  <si>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</si>
  <si>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</si>
  <si>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</si>
  <si>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</si>
  <si>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</si>
  <si>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</si>
  <si>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</si>
  <si>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</si>
  <si>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</si>
  <si>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</si>
  <si>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</si>
  <si>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</si>
  <si>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</si>
  <si>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</si>
  <si>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</si>
  <si>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</si>
  <si>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</si>
  <si>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</si>
  <si>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</si>
  <si>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</si>
  <si>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</si>
  <si>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</si>
  <si>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</si>
  <si>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</si>
  <si>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</si>
  <si>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</si>
  <si>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</si>
  <si>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</si>
  <si>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</si>
  <si>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</si>
  <si>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</si>
  <si>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</si>
  <si>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</si>
  <si>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</si>
  <si>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</si>
  <si>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</si>
  <si>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</si>
  <si>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</si>
  <si>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</si>
  <si>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</si>
  <si>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</si>
  <si>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</si>
  <si>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</si>
  <si>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</si>
  <si>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</si>
  <si>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</si>
  <si>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</si>
  <si>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</si>
  <si>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</si>
  <si>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</si>
  <si>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</si>
  <si>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</si>
  <si>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</si>
  <si>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</si>
  <si>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</si>
  <si>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</si>
  <si>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</si>
  <si>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</si>
  <si>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</si>
  <si>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</si>
  <si>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</si>
  <si>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</si>
  <si>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</si>
  <si>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</si>
  <si>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</si>
  <si>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</si>
  <si>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</si>
  <si>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</si>
  <si>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</si>
  <si>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</si>
  <si>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</si>
  <si>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</si>
  <si>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</si>
  <si>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</si>
  <si>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</si>
  <si>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</si>
  <si>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</si>
  <si>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</si>
  <si>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</si>
  <si>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</si>
  <si>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</si>
  <si>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</si>
  <si>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</si>
  <si>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</si>
  <si>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</si>
  <si>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</si>
  <si>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</si>
  <si>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</si>
  <si>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</si>
  <si>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</si>
  <si>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</si>
  <si>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</si>
  <si>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</si>
  <si>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</si>
  <si>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</si>
  <si>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</si>
  <si>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</si>
  <si>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</si>
  <si>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</si>
  <si>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</si>
  <si>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</si>
  <si>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</si>
  <si>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</si>
  <si>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</si>
  <si>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</si>
  <si>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</si>
  <si>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</si>
  <si>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</si>
  <si>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</si>
  <si>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</si>
  <si>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</si>
  <si>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</si>
  <si>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</si>
  <si>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</si>
  <si>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</si>
  <si>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</si>
  <si>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</si>
  <si>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</si>
  <si>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</si>
  <si>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</si>
  <si>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</si>
  <si>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</si>
  <si>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</si>
  <si>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</si>
  <si>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</si>
  <si>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</si>
  <si>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</si>
  <si>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</si>
  <si>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</si>
  <si>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</si>
  <si>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</si>
  <si>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</si>
  <si>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</si>
  <si>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</si>
  <si>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</si>
  <si>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</si>
  <si>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</si>
  <si>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</si>
  <si>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</si>
  <si>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</si>
  <si>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</si>
  <si>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</si>
  <si>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</si>
  <si>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</si>
  <si>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</si>
  <si>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</si>
  <si>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</si>
  <si>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</si>
  <si>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</si>
  <si>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</si>
  <si>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</si>
  <si>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</si>
  <si>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</si>
  <si>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</si>
  <si>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</si>
  <si>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</si>
  <si>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</si>
  <si>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</si>
  <si>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</si>
  <si>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</si>
  <si>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</si>
  <si>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</si>
  <si>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</si>
  <si>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</si>
  <si>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</si>
  <si>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</si>
  <si>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</si>
  <si>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</si>
  <si>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</si>
  <si>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</si>
  <si>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</si>
  <si>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</si>
  <si>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</si>
  <si>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</si>
  <si>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</si>
  <si>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</si>
  <si>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</si>
  <si>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</si>
  <si>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</si>
  <si>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</si>
  <si>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</si>
  <si>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</si>
  <si>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</si>
  <si>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</si>
  <si>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</si>
  <si>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</si>
  <si>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</si>
  <si>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</si>
  <si>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</si>
  <si>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</si>
  <si>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</si>
  <si>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</si>
  <si>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</si>
  <si>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</si>
  <si>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</si>
  <si>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</si>
  <si>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</si>
  <si>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</si>
  <si>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</si>
  <si>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</si>
  <si>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</si>
  <si>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</si>
  <si>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</si>
  <si>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</si>
  <si>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</si>
  <si>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</si>
  <si>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</si>
  <si>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</si>
  <si>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</si>
  <si>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</si>
  <si>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</si>
  <si>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</si>
  <si>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</si>
  <si>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</si>
  <si>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</si>
  <si>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</si>
  <si>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</si>
  <si>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</si>
  <si>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</si>
  <si>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</si>
  <si>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</si>
  <si>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</si>
  <si>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</si>
  <si>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</si>
  <si>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</si>
  <si>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</si>
  <si>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</si>
  <si>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</si>
  <si>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</si>
  <si>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</si>
  <si>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</si>
  <si>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</si>
  <si>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</si>
  <si>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</si>
  <si>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</si>
  <si>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</si>
  <si>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</si>
  <si>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</si>
  <si>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</si>
  <si>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</si>
  <si>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</si>
  <si>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</si>
  <si>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</si>
  <si>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</si>
  <si>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</si>
  <si>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</si>
  <si>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</si>
  <si>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</si>
  <si>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</si>
  <si>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</si>
  <si>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</si>
  <si>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</si>
  <si>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</si>
  <si>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</si>
  <si>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</si>
  <si>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</si>
  <si>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</si>
  <si>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</si>
  <si>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</si>
  <si>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</si>
  <si>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</si>
  <si>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</si>
  <si>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</si>
  <si>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</si>
  <si>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</si>
  <si>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</si>
  <si>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</si>
  <si>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</si>
  <si>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</si>
  <si>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</si>
  <si>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</si>
  <si>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</si>
  <si>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</si>
  <si>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</si>
  <si>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</si>
  <si>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</si>
  <si>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</si>
  <si>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</si>
  <si>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</si>
  <si>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</si>
  <si>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</si>
  <si>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</si>
  <si>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</si>
  <si>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</si>
  <si>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</si>
  <si>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</si>
  <si>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</si>
  <si>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</si>
  <si>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</si>
  <si>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</si>
  <si>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</si>
  <si>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</si>
  <si>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</si>
  <si>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</si>
  <si>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</si>
  <si>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</si>
  <si>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</si>
  <si>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</si>
  <si>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</si>
  <si>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</si>
  <si>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</si>
  <si>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</si>
  <si>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</si>
  <si>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</si>
  <si>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</si>
  <si>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</si>
  <si>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</si>
  <si>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</si>
  <si>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</si>
  <si>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</si>
  <si>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</si>
  <si>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</si>
  <si>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</si>
  <si>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</si>
  <si>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</si>
  <si>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</si>
  <si>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</si>
  <si>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</si>
  <si>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</si>
  <si>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</si>
  <si>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</si>
  <si>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</si>
  <si>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</si>
  <si>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</si>
  <si>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</si>
  <si>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</si>
  <si>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</si>
  <si>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</si>
  <si>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</si>
  <si>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</si>
  <si>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</si>
  <si>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</si>
  <si>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</si>
  <si>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</si>
  <si>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</si>
  <si>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</si>
  <si>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</si>
  <si>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</si>
  <si>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</si>
  <si>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</si>
  <si>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</si>
  <si>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</si>
  <si>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</si>
  <si>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</si>
  <si>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</si>
  <si>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</si>
  <si>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</si>
  <si>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</si>
  <si>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</si>
  <si>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</si>
  <si>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</si>
  <si>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</si>
  <si>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</si>
  <si>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</si>
  <si>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</si>
  <si>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</si>
  <si>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</si>
  <si>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</si>
  <si>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</si>
  <si>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</si>
  <si>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</si>
  <si>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</si>
  <si>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</si>
  <si>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</si>
  <si>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</si>
  <si>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</si>
  <si>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</si>
  <si>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</si>
  <si>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</si>
  <si>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</si>
  <si>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</si>
  <si>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</si>
  <si>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</si>
  <si>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</si>
  <si>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</si>
  <si>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</si>
  <si>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</si>
  <si>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</si>
  <si>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</si>
  <si>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</si>
  <si>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</si>
  <si>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</si>
  <si>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</si>
  <si>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</si>
  <si>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</si>
  <si>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</si>
  <si>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</si>
  <si>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</si>
  <si>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</si>
  <si>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</si>
  <si>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</si>
  <si>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</si>
  <si>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</si>
  <si>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</si>
  <si>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</si>
  <si>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</si>
  <si>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</si>
  <si>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</si>
  <si>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</si>
  <si>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</si>
  <si>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</si>
  <si>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</si>
  <si>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</si>
  <si>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</si>
  <si>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</si>
  <si>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</si>
  <si>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</si>
  <si>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</si>
  <si>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</si>
  <si>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</si>
  <si>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</si>
  <si>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</si>
  <si>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</si>
  <si>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</si>
  <si>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</si>
  <si>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</si>
  <si>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</si>
  <si>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</si>
  <si>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</si>
  <si>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</si>
  <si>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</si>
  <si>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</si>
  <si>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</si>
  <si>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</si>
  <si>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</si>
  <si>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</si>
  <si>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</si>
  <si>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</si>
  <si>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</si>
  <si>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</si>
  <si>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</si>
  <si>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</si>
  <si>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</si>
  <si>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</si>
  <si>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</si>
  <si>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</si>
  <si>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</si>
  <si>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</si>
  <si>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</si>
  <si>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</si>
  <si>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</si>
  <si>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</si>
  <si>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</si>
  <si>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</si>
  <si>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</si>
  <si>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</si>
  <si>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</si>
  <si>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</si>
  <si>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</si>
  <si>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</si>
  <si>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</si>
  <si>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</si>
  <si>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</si>
  <si>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</si>
  <si>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</si>
  <si>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</si>
  <si>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</si>
  <si>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</si>
  <si>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</si>
  <si>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</si>
  <si>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</si>
  <si>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</si>
  <si>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</si>
  <si>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</si>
  <si>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</si>
  <si>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</si>
  <si>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</si>
  <si>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</si>
  <si>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</si>
  <si>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</si>
  <si>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</si>
  <si>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</si>
  <si>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</si>
  <si>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</si>
  <si>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</si>
  <si>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</si>
  <si>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</si>
  <si>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</si>
  <si>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</si>
  <si>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</si>
  <si>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</si>
  <si>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</si>
  <si>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</si>
  <si>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</si>
  <si>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</si>
  <si>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</si>
  <si>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</si>
  <si>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</si>
  <si>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</si>
  <si>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</si>
  <si>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</si>
  <si>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</si>
  <si>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</si>
  <si>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</si>
  <si>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</si>
  <si>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</si>
  <si>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</si>
  <si>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</si>
  <si>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</si>
  <si>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</si>
  <si>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</si>
  <si>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</si>
  <si>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</si>
  <si>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</si>
  <si>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</si>
  <si>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</si>
  <si>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</si>
  <si>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</si>
  <si>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</si>
  <si>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</si>
  <si>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</si>
  <si>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</si>
  <si>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</si>
  <si>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</si>
  <si>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</si>
  <si>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</si>
  <si>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</si>
  <si>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</si>
  <si>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</si>
  <si>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</si>
  <si>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</si>
  <si>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</si>
  <si>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</si>
  <si>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</si>
  <si>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</si>
  <si>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</si>
  <si>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</si>
  <si>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</si>
  <si>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</si>
  <si>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</si>
  <si>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</si>
  <si>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</si>
  <si>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</si>
  <si>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</si>
  <si>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</si>
  <si>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</si>
  <si>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</si>
  <si>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</si>
  <si>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</si>
  <si>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</si>
  <si>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</si>
  <si>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</si>
  <si>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</si>
  <si>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</si>
  <si>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</si>
  <si>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</si>
  <si>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</si>
  <si>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</si>
  <si>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</si>
  <si>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</si>
  <si>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</si>
  <si>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</si>
  <si>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</si>
  <si>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</si>
  <si>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</si>
  <si>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</si>
  <si>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</si>
  <si>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</si>
  <si>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</si>
  <si>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</si>
  <si>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</si>
  <si>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</si>
  <si>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</si>
  <si>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</si>
  <si>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</si>
  <si>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</si>
  <si>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</si>
  <si>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</si>
  <si>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</si>
  <si>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</si>
  <si>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</si>
  <si>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</si>
  <si>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</si>
  <si>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</si>
  <si>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</si>
  <si>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</si>
  <si>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</si>
  <si>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</si>
  <si>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</si>
  <si>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</si>
  <si>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</si>
  <si>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</si>
  <si>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</si>
  <si>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</si>
  <si>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</si>
  <si>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</si>
  <si>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</si>
  <si>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</si>
  <si>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</si>
  <si>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</si>
  <si>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</si>
  <si>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</si>
  <si>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</si>
  <si>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</si>
  <si>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</si>
  <si>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</si>
  <si>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</si>
  <si>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</si>
  <si>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</si>
  <si>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</si>
  <si>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</si>
  <si>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</si>
  <si>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</si>
  <si>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</si>
  <si>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</si>
  <si>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</si>
  <si>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</si>
  <si>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</si>
  <si>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</si>
  <si>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</si>
  <si>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</si>
  <si>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</si>
  <si>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</si>
  <si>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</si>
  <si>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</si>
  <si>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</si>
  <si>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</si>
  <si>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</si>
  <si>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</si>
  <si>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</si>
  <si>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</si>
  <si>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</si>
  <si>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</si>
  <si>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</si>
  <si>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</si>
  <si>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</si>
  <si>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</si>
  <si>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</si>
  <si>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</si>
  <si>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</si>
  <si>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</si>
  <si>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</si>
  <si>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</si>
  <si>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</si>
  <si>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</si>
  <si>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</si>
  <si>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</si>
  <si>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</si>
  <si>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</si>
  <si>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</si>
  <si>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</si>
  <si>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</si>
  <si>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</si>
  <si>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</si>
  <si>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</si>
  <si>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</si>
  <si>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</si>
  <si>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</si>
  <si>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</si>
  <si>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</si>
  <si>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</si>
  <si>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</si>
  <si>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</si>
  <si>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</si>
  <si>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</si>
  <si>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</si>
  <si>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</si>
  <si>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</si>
  <si>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</si>
  <si>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</si>
  <si>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</si>
  <si>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</si>
  <si>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</si>
  <si>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</si>
  <si>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</si>
  <si>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</si>
  <si>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</si>
  <si>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</si>
  <si>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</si>
  <si>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</si>
  <si>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</si>
  <si>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</si>
  <si>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</si>
  <si>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</si>
  <si>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</si>
  <si>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</si>
  <si>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</si>
  <si>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</si>
  <si>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</si>
  <si>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</si>
  <si>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</si>
  <si>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</si>
  <si>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</si>
  <si>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</si>
  <si>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</si>
  <si>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</si>
  <si>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</si>
  <si>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</si>
  <si>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</si>
  <si>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</si>
  <si>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</si>
  <si>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</si>
  <si>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</si>
  <si>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</si>
  <si>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</si>
  <si>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</si>
  <si>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</si>
  <si>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</si>
  <si>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</si>
  <si>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</si>
  <si>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</si>
  <si>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</si>
  <si>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</si>
  <si>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</si>
  <si>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</si>
  <si>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</si>
  <si>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</si>
  <si>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</si>
  <si>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</si>
  <si>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</si>
  <si>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</si>
  <si>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</si>
  <si>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</si>
  <si>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</si>
  <si>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</si>
  <si>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</si>
  <si>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</si>
  <si>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</si>
  <si>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</si>
  <si>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</si>
  <si>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</si>
  <si>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</si>
  <si>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</si>
  <si>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</si>
  <si>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</si>
  <si>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</si>
  <si>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</si>
  <si>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</si>
  <si>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</si>
  <si>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</si>
  <si>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</si>
  <si>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</si>
  <si>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</si>
  <si>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</si>
  <si>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</si>
  <si>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</si>
  <si>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</si>
  <si>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</si>
  <si>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</si>
  <si>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</si>
  <si>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</si>
  <si>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</si>
  <si>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</si>
  <si>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</si>
  <si>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</si>
  <si>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</si>
  <si>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</si>
  <si>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</si>
  <si>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</si>
  <si>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</si>
  <si>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</si>
  <si>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</si>
  <si>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</si>
  <si>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</si>
  <si>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</si>
  <si>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</si>
  <si>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</si>
  <si>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</si>
  <si>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</si>
  <si>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</si>
  <si>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</si>
  <si>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</si>
  <si>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</si>
  <si>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</si>
  <si>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</si>
  <si>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</si>
  <si>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</si>
  <si>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</si>
  <si>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</si>
  <si>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</si>
  <si>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</si>
  <si>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</si>
  <si>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</si>
  <si>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</si>
  <si>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</si>
  <si>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</si>
  <si>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</si>
  <si>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</si>
  <si>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</si>
  <si>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</si>
  <si>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</si>
  <si>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</si>
  <si>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</si>
  <si>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</si>
  <si>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</si>
  <si>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</si>
  <si>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</si>
  <si>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</si>
  <si>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</si>
  <si>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</si>
  <si>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</si>
  <si>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</si>
  <si>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</si>
  <si>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</si>
  <si>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</si>
  <si>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</si>
  <si>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</si>
  <si>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</si>
  <si>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</si>
  <si>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</si>
  <si>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</si>
  <si>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</si>
  <si>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</si>
  <si>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</si>
  <si>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</si>
  <si>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</si>
  <si>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</si>
  <si>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</si>
  <si>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</si>
  <si>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</si>
  <si>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</si>
  <si>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</si>
  <si>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</si>
  <si>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</si>
  <si>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</si>
  <si>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</si>
  <si>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</si>
  <si>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</si>
  <si>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</si>
  <si>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</si>
  <si>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</si>
  <si>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</si>
  <si>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</si>
  <si>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</si>
  <si>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</si>
  <si>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</si>
  <si>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</si>
  <si>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</si>
  <si>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</si>
  <si>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</si>
  <si>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</si>
  <si>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</si>
  <si>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</si>
  <si>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</si>
  <si>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</si>
  <si>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</si>
  <si>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</si>
  <si>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</si>
  <si>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</si>
  <si>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</si>
  <si>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</si>
  <si>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</si>
  <si>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</si>
  <si>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</si>
  <si>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</si>
  <si>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</si>
  <si>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</si>
  <si>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</si>
  <si>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</si>
  <si>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</si>
  <si>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</si>
  <si>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</si>
  <si>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</si>
  <si>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</si>
  <si>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</si>
  <si>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</si>
  <si>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</si>
  <si>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</si>
  <si>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</si>
  <si>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</si>
  <si>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</si>
  <si>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</si>
  <si>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</si>
  <si>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</si>
  <si>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</si>
  <si>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</si>
  <si>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</si>
  <si>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</si>
  <si>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</si>
  <si>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</si>
  <si>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</si>
  <si>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</si>
  <si>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</si>
  <si>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</si>
  <si>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</si>
  <si>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</si>
  <si>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</si>
  <si>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</si>
  <si>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</si>
  <si>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</si>
  <si>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</si>
  <si>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</si>
  <si>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</si>
  <si>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</si>
  <si>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</si>
  <si>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</si>
  <si>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</si>
  <si>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</si>
  <si>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</si>
  <si>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</si>
  <si>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</si>
  <si>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</si>
  <si>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</si>
  <si>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</si>
  <si>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</si>
  <si>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</si>
  <si>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</si>
  <si>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</si>
  <si>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</si>
  <si>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</si>
  <si>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</si>
  <si>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</si>
  <si>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</si>
  <si>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</si>
  <si>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</si>
  <si>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</si>
  <si>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</si>
  <si>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</si>
  <si>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</si>
  <si>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</si>
  <si>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</si>
  <si>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</si>
  <si>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</si>
  <si>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</si>
  <si>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</si>
  <si>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</si>
  <si>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</si>
  <si>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</si>
  <si>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</si>
  <si>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</si>
  <si>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</si>
  <si>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</si>
  <si>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</si>
  <si>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</si>
  <si>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</si>
  <si>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</si>
  <si>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</si>
  <si>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</si>
  <si>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</si>
  <si>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</si>
  <si>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</si>
  <si>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</si>
  <si>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</si>
  <si>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</si>
  <si>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</si>
  <si>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</si>
  <si>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</si>
  <si>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</si>
  <si>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</si>
  <si>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</si>
  <si>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</si>
  <si>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</si>
  <si>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</si>
  <si>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</si>
  <si>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</si>
  <si>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</si>
  <si>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</si>
  <si>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</si>
  <si>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</si>
  <si>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</si>
  <si>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</si>
  <si>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</si>
  <si>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</si>
  <si>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</si>
  <si>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</si>
  <si>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</si>
  <si>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</si>
  <si>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</si>
  <si>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</si>
  <si>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</si>
  <si>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</si>
  <si>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</si>
  <si>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</si>
  <si>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</si>
  <si>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</si>
  <si>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</si>
  <si>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</si>
  <si>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</si>
  <si>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</si>
  <si>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</si>
  <si>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</si>
  <si>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</si>
  <si>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</si>
  <si>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</si>
  <si>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</si>
  <si>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</si>
  <si>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</si>
  <si>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</si>
  <si>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</si>
  <si>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</si>
  <si>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</si>
  <si>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</si>
  <si>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</si>
  <si>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</si>
  <si>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</si>
  <si>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</si>
  <si>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</si>
  <si>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</si>
  <si>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</si>
  <si>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</si>
  <si>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</si>
  <si>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</si>
  <si>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</si>
  <si>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</si>
  <si>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</si>
  <si>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</si>
  <si>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</si>
  <si>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</si>
  <si>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</si>
  <si>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</si>
  <si>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</si>
  <si>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</si>
  <si>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</si>
  <si>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</si>
  <si>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</si>
  <si>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</si>
  <si>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</si>
  <si>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</si>
  <si>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</si>
  <si>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</si>
  <si>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</si>
  <si>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</si>
  <si>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</si>
  <si>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</si>
  <si>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</si>
  <si>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</si>
  <si>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</si>
  <si>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</si>
  <si>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</si>
  <si>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</si>
  <si>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</si>
  <si>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</si>
  <si>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</si>
  <si>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</si>
  <si>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</si>
  <si>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</si>
  <si>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</si>
  <si>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</si>
  <si>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</si>
  <si>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</si>
  <si>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</si>
  <si>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</si>
  <si>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</si>
  <si>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</si>
  <si>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</si>
  <si>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</si>
  <si>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</si>
  <si>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</si>
  <si>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</si>
  <si>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</si>
  <si>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</si>
  <si>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</si>
  <si>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</si>
  <si>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</si>
  <si>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</si>
  <si>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</si>
  <si>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</si>
  <si>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</si>
  <si>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</si>
  <si>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</si>
  <si>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</si>
  <si>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</si>
  <si>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</si>
  <si>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</si>
  <si>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</si>
  <si>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</si>
  <si>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</si>
  <si>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</si>
  <si>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</si>
  <si>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</si>
  <si>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</si>
  <si>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</si>
  <si>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</si>
  <si>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</si>
  <si>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</si>
  <si>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</si>
  <si>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</si>
  <si>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</si>
  <si>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</si>
  <si>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</si>
  <si>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</si>
  <si>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</si>
  <si>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</si>
  <si>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</si>
  <si>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</si>
  <si>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</si>
  <si>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</si>
  <si>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</si>
  <si>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</si>
  <si>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</si>
  <si>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</si>
  <si>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</si>
  <si>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</si>
  <si>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</si>
  <si>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</si>
  <si>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</si>
  <si>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</si>
  <si>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</si>
  <si>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</si>
  <si>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</si>
  <si>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</si>
  <si>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</si>
  <si>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</si>
  <si>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</si>
  <si>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</si>
  <si>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</si>
  <si>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</si>
  <si>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</si>
  <si>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</si>
  <si>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</si>
  <si>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</si>
  <si>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</si>
  <si>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</si>
  <si>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</si>
  <si>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</si>
  <si>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</si>
  <si>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</si>
  <si>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</si>
  <si>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</si>
  <si>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</si>
  <si>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</si>
  <si>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</si>
  <si>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</si>
  <si>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</si>
  <si>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</si>
  <si>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</si>
  <si>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</si>
  <si>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</si>
  <si>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</si>
  <si>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</si>
  <si>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</si>
  <si>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</si>
  <si>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</si>
  <si>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</si>
  <si>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</si>
  <si>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</si>
  <si>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</si>
  <si>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</si>
  <si>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</si>
  <si>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</si>
  <si>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</si>
  <si>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</si>
  <si>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</si>
  <si>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</si>
  <si>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</si>
  <si>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</si>
  <si>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</si>
  <si>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</si>
  <si>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</si>
  <si>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</si>
  <si>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</si>
  <si>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</si>
  <si>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</si>
  <si>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</si>
  <si>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</si>
  <si>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</si>
  <si>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</si>
  <si>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</si>
  <si>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</si>
  <si>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</si>
  <si>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</si>
  <si>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</si>
  <si>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</si>
  <si>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</si>
  <si>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</si>
  <si>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</si>
  <si>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</si>
  <si>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</si>
  <si>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</si>
  <si>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</si>
  <si>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</si>
  <si>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</si>
  <si>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</si>
  <si>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</si>
  <si>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</si>
  <si>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</si>
  <si>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</si>
  <si>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</si>
  <si>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</si>
  <si>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</si>
  <si>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</si>
  <si>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</si>
  <si>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</si>
  <si>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</si>
  <si>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</si>
  <si>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</si>
  <si>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</si>
  <si>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</si>
  <si>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</si>
  <si>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</si>
  <si>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</si>
  <si>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</si>
  <si>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</si>
  <si>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</si>
  <si>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</si>
  <si>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</si>
  <si>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</si>
  <si>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</si>
  <si>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</si>
  <si>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</si>
  <si>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</si>
  <si>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</si>
  <si>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</si>
  <si>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</si>
  <si>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</si>
  <si>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</si>
  <si>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</si>
  <si>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</si>
  <si>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</si>
  <si>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</si>
  <si>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</si>
  <si>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</si>
  <si>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</si>
  <si>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</si>
  <si>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</si>
  <si>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</si>
  <si>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</si>
  <si>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</si>
  <si>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</si>
  <si>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</si>
  <si>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</si>
  <si>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</si>
  <si>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</si>
  <si>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</si>
  <si>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</si>
  <si>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</si>
  <si>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</si>
  <si>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</si>
  <si>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</si>
  <si>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</si>
  <si>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</si>
  <si>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</si>
  <si>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</si>
  <si>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</si>
  <si>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</si>
  <si>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</si>
  <si>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</si>
  <si>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</si>
  <si>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</si>
  <si>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</si>
  <si>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</si>
  <si>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</si>
  <si>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</si>
  <si>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</si>
  <si>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</si>
  <si>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</si>
  <si>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</si>
  <si>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</si>
  <si>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</si>
  <si>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</si>
  <si>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</si>
  <si>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</si>
  <si>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</si>
  <si>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</si>
  <si>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</si>
  <si>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</si>
  <si>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</si>
  <si>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</si>
  <si>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</si>
  <si>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</si>
  <si>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</si>
  <si>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</si>
  <si>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</si>
  <si>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</si>
  <si>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</si>
  <si>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</si>
  <si>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</si>
  <si>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</si>
  <si>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</si>
  <si>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</si>
  <si>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</si>
  <si>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</si>
  <si>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</si>
  <si>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</si>
  <si>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</si>
  <si>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</si>
  <si>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</si>
  <si>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</si>
  <si>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</si>
  <si>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</si>
  <si>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</si>
  <si>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</si>
  <si>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</si>
  <si>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</si>
  <si>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</si>
  <si>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</si>
  <si>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</si>
  <si>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</si>
  <si>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</si>
  <si>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</si>
  <si>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</si>
  <si>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</si>
  <si>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</si>
  <si>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</si>
  <si>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</si>
  <si>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</si>
  <si>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</si>
  <si>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</si>
  <si>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</si>
  <si>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</si>
  <si>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</si>
  <si>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</si>
  <si>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</si>
  <si>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</si>
  <si>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</si>
  <si>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</si>
  <si>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</si>
  <si>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</si>
  <si>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</si>
  <si>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</si>
  <si>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</si>
  <si>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</si>
  <si>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</si>
  <si>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</si>
  <si>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</si>
  <si>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</si>
  <si>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</si>
  <si>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</si>
  <si>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</si>
  <si>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</si>
  <si>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</si>
  <si>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</si>
  <si>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</si>
  <si>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</si>
  <si>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</si>
  <si>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</si>
  <si>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</si>
  <si>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</si>
  <si>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</si>
  <si>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</si>
  <si>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</si>
  <si>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</si>
  <si>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</si>
  <si>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</si>
  <si>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</si>
  <si>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</si>
  <si>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</si>
  <si>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</si>
  <si>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</si>
  <si>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</si>
  <si>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</si>
  <si>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</si>
  <si>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</si>
  <si>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</si>
  <si>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</si>
  <si>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</si>
  <si>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</si>
  <si>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</si>
  <si>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</si>
  <si>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</si>
  <si>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</si>
  <si>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</si>
  <si>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</si>
  <si>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</si>
  <si>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</si>
  <si>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</si>
  <si>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</si>
  <si>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</si>
  <si>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</si>
  <si>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</si>
  <si>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</si>
  <si>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</si>
  <si>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</si>
  <si>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</si>
  <si>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</si>
  <si>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</si>
  <si>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</si>
  <si>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</si>
  <si>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</si>
  <si>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</si>
  <si>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</si>
  <si>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</si>
  <si>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</si>
  <si>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</si>
  <si>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</si>
  <si>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</si>
  <si>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</si>
  <si>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</si>
  <si>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</si>
  <si>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</si>
  <si>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</si>
  <si>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</si>
  <si>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</si>
  <si>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</si>
  <si>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</si>
  <si>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</si>
  <si>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</si>
  <si>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</si>
  <si>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</si>
  <si>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</si>
  <si>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</si>
  <si>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</si>
  <si>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</si>
  <si>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</si>
  <si>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</si>
  <si>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</si>
  <si>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</si>
  <si>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</si>
  <si>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</si>
  <si>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</si>
  <si>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</si>
  <si>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</si>
  <si>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</si>
  <si>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</si>
  <si>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</si>
  <si>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</si>
  <si>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</si>
  <si>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</si>
  <si>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</si>
  <si>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</si>
  <si>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</si>
  <si>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</si>
  <si>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</si>
  <si>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</si>
  <si>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</si>
  <si>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</si>
  <si>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</si>
  <si>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</si>
  <si>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</si>
  <si>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</si>
  <si>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</si>
  <si>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</si>
  <si>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</si>
  <si>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</si>
  <si>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</si>
  <si>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</si>
  <si>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</si>
  <si>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</si>
  <si>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</si>
  <si>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</si>
  <si>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</si>
  <si>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</si>
  <si>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</si>
  <si>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</si>
  <si>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</si>
  <si>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</si>
  <si>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</si>
  <si>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</si>
  <si>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</si>
  <si>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</si>
  <si>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</si>
  <si>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</si>
  <si>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</si>
  <si>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</si>
  <si>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</si>
  <si>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</si>
  <si>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</si>
  <si>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</si>
  <si>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</si>
  <si>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</si>
  <si>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</si>
  <si>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</si>
  <si>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</si>
  <si>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</si>
  <si>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</si>
  <si>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</si>
  <si>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</si>
  <si>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</si>
  <si>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</si>
  <si>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</si>
  <si>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</si>
  <si>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</si>
  <si>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</si>
  <si>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</si>
  <si>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</si>
  <si>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</si>
  <si>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</si>
  <si>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</si>
  <si>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</si>
  <si>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</si>
  <si>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</si>
  <si>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</si>
  <si>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</si>
  <si>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</si>
  <si>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</si>
  <si>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</si>
  <si>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</si>
  <si>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</si>
  <si>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</si>
  <si>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</si>
  <si>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</si>
  <si>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</si>
  <si>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</si>
  <si>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</si>
  <si>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</si>
  <si>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</si>
  <si>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</si>
  <si>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</si>
  <si>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</si>
  <si>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</si>
  <si>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</si>
  <si>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</si>
  <si>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</si>
  <si>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</si>
  <si>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</si>
  <si>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</si>
  <si>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</si>
  <si>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</si>
  <si>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</si>
  <si>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</si>
  <si>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</si>
  <si>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</si>
  <si>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</si>
  <si>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</si>
  <si>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</si>
  <si>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</si>
  <si>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</si>
  <si>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</si>
  <si>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</si>
  <si>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</si>
  <si>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</si>
  <si>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</si>
  <si>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</si>
  <si>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</si>
  <si>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</si>
  <si>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</si>
  <si>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</si>
  <si>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</si>
  <si>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</si>
  <si>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</si>
  <si>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</si>
  <si>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</si>
  <si>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</si>
  <si>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</si>
  <si>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</si>
  <si>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</si>
  <si>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</si>
  <si>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</si>
  <si>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</si>
  <si>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</si>
  <si>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</si>
  <si>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</si>
  <si>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</si>
  <si>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</si>
  <si>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</si>
  <si>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</si>
  <si>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</si>
  <si>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</si>
  <si>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</si>
  <si>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</si>
  <si>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</si>
  <si>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</si>
  <si>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</si>
  <si>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</si>
  <si>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</si>
  <si>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</si>
  <si>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</si>
  <si>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</si>
  <si>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</si>
  <si>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</si>
  <si>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</si>
  <si>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</si>
  <si>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</si>
  <si>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</si>
  <si>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</si>
  <si>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</si>
  <si>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</si>
  <si>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</si>
  <si>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</si>
  <si>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</si>
  <si>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</si>
  <si>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</si>
  <si>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</si>
  <si>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</si>
  <si>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</si>
  <si>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</si>
  <si>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</si>
  <si>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</si>
  <si>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</si>
  <si>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</si>
  <si>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</si>
  <si>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</si>
  <si>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</si>
  <si>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</si>
  <si>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</si>
  <si>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</si>
  <si>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</si>
  <si>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</si>
  <si>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</si>
  <si>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</si>
  <si>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</si>
  <si>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</si>
  <si>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</si>
  <si>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</si>
  <si>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</si>
  <si>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</si>
  <si>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</si>
  <si>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</si>
  <si>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</si>
  <si>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</si>
  <si>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</si>
  <si>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</si>
  <si>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</si>
  <si>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</si>
  <si>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</si>
  <si>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</si>
  <si>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</si>
  <si>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</si>
  <si>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</si>
  <si>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</si>
  <si>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</si>
  <si>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</si>
  <si>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</si>
  <si>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</si>
  <si>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</si>
  <si>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</si>
  <si>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</si>
  <si>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</si>
  <si>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</si>
  <si>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</si>
  <si>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</si>
  <si>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</si>
  <si>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</si>
  <si>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</si>
  <si>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</si>
  <si>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</si>
  <si>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</si>
  <si>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</si>
  <si>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</si>
  <si>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</si>
  <si>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</si>
  <si>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</si>
  <si>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</si>
  <si>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</si>
  <si>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</si>
  <si>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</si>
  <si>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</si>
  <si>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</si>
  <si>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</si>
  <si>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</si>
  <si>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</si>
  <si>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</si>
  <si>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</si>
  <si>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</si>
  <si>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</si>
  <si>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</si>
  <si>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</si>
  <si>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</si>
  <si>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</si>
  <si>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</si>
  <si>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</si>
  <si>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</si>
  <si>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</si>
  <si>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</si>
  <si>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</si>
  <si>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</si>
  <si>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</si>
  <si>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</si>
  <si>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</si>
  <si>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</si>
  <si>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</si>
  <si>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</si>
  <si>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</si>
  <si>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</si>
  <si>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</si>
  <si>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</si>
  <si>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</si>
  <si>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</si>
  <si>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</si>
  <si>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</si>
  <si>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</si>
  <si>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</si>
  <si>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</si>
  <si>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</si>
  <si>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</si>
  <si>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</si>
  <si>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</si>
  <si>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</si>
  <si>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</si>
  <si>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</si>
  <si>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</si>
  <si>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</si>
  <si>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</si>
  <si>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</si>
  <si>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</si>
  <si>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</si>
  <si>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</si>
  <si>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</si>
  <si>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</si>
  <si>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</si>
  <si>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</si>
  <si>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</si>
  <si>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</si>
  <si>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</si>
  <si>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</si>
  <si>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</si>
  <si>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</si>
  <si>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</si>
  <si>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</si>
  <si>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</si>
  <si>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</si>
  <si>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</si>
  <si>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</si>
  <si>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</si>
  <si>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</si>
  <si>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</si>
  <si>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</si>
  <si>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</si>
  <si>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</si>
  <si>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</si>
  <si>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</si>
  <si>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</si>
  <si>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</si>
  <si>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</si>
  <si>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</si>
  <si>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</si>
  <si>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</si>
  <si>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</si>
  <si>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</si>
  <si>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</si>
  <si>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</si>
  <si>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</si>
  <si>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</si>
  <si>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</si>
  <si>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</si>
  <si>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</si>
  <si>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</si>
  <si>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</si>
  <si>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</si>
  <si>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</si>
  <si>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</si>
  <si>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</si>
  <si>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</si>
  <si>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</si>
  <si>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</si>
  <si>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</si>
  <si>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</si>
  <si>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</si>
  <si>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</si>
  <si>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</si>
  <si>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</si>
  <si>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</si>
  <si>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</si>
  <si>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</si>
  <si>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</si>
  <si>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</si>
  <si>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</si>
  <si>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</si>
  <si>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</si>
  <si>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</si>
  <si>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</si>
  <si>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</si>
  <si>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</si>
  <si>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</si>
  <si>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</si>
  <si>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</si>
  <si>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</si>
  <si>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</si>
  <si>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</si>
  <si>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</si>
  <si>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</si>
  <si>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</si>
  <si>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</si>
  <si>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</si>
  <si>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</si>
  <si>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</si>
  <si>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</si>
  <si>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</si>
  <si>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</si>
  <si>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</si>
  <si>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</si>
  <si>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</si>
  <si>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</si>
  <si>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</si>
  <si>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</si>
  <si>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</si>
  <si>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</si>
  <si>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</si>
  <si>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</si>
  <si>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</si>
  <si>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</si>
  <si>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</si>
  <si>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</si>
  <si>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</si>
  <si>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</si>
  <si>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</si>
  <si>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</si>
  <si>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</si>
  <si>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</si>
  <si>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</si>
  <si>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</si>
  <si>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</si>
  <si>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</si>
  <si>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</si>
  <si>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</si>
  <si>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</si>
  <si>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</si>
  <si>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</si>
  <si>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</si>
  <si>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</si>
  <si>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</si>
  <si>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</si>
  <si>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</si>
  <si>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</si>
  <si>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</si>
  <si>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</si>
  <si>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</si>
  <si>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</si>
  <si>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</si>
  <si>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</si>
  <si>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</si>
  <si>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</si>
  <si>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</si>
  <si>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</si>
  <si>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</si>
  <si>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</si>
  <si>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</si>
  <si>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</si>
  <si>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</si>
  <si>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</si>
  <si>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</si>
  <si>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</si>
  <si>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</si>
  <si>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</si>
  <si>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</si>
  <si>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</si>
  <si>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</si>
  <si>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</si>
  <si>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</si>
  <si>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</si>
  <si>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</si>
  <si>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</si>
  <si>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</si>
  <si>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</si>
  <si>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</si>
  <si>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</si>
  <si>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</si>
  <si>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</si>
  <si>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</si>
  <si>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</si>
  <si>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</si>
  <si>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</si>
  <si>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</si>
  <si>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</si>
  <si>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</si>
  <si>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</si>
  <si>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</si>
  <si>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</si>
  <si>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</si>
  <si>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</si>
  <si>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</si>
  <si>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</si>
  <si>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</si>
  <si>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</si>
  <si>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</si>
  <si>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</si>
  <si>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</si>
  <si>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</si>
  <si>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</si>
  <si>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</si>
  <si>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</si>
  <si>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</si>
  <si>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</si>
  <si>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</si>
  <si>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</si>
  <si>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</si>
  <si>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</si>
  <si>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</si>
  <si>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</si>
  <si>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</si>
  <si>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</si>
  <si>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</si>
  <si>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</si>
  <si>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</si>
  <si>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</si>
  <si>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</si>
  <si>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</si>
  <si>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</si>
  <si>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</si>
  <si>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</si>
  <si>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</si>
  <si>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</si>
  <si>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</si>
  <si>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</si>
  <si>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</si>
  <si>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</si>
  <si>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</si>
  <si>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</si>
  <si>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</si>
  <si>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</si>
  <si>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</si>
  <si>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</si>
  <si>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</si>
  <si>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</si>
  <si>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</si>
  <si>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</si>
  <si>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</si>
  <si>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</si>
  <si>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</si>
  <si>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</si>
  <si>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</si>
  <si>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</si>
  <si>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</si>
  <si>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</si>
  <si>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</si>
  <si>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</si>
  <si>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</si>
  <si>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</si>
  <si>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</si>
  <si>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</si>
  <si>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</si>
  <si>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</si>
  <si>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</si>
  <si>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</si>
  <si>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</si>
  <si>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</si>
  <si>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</si>
  <si>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</si>
  <si>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</si>
  <si>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</si>
  <si>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</si>
  <si>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</si>
  <si>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</si>
  <si>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</si>
  <si>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</si>
  <si>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</si>
  <si>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</si>
  <si>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</si>
  <si>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</si>
  <si>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</si>
  <si>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</si>
  <si>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</si>
  <si>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</si>
  <si>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</si>
  <si>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</si>
  <si>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</si>
  <si>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</si>
  <si>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</si>
  <si>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</si>
  <si>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</si>
  <si>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</si>
  <si>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</si>
  <si>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</si>
  <si>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</si>
  <si>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</si>
  <si>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</si>
  <si>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</si>
  <si>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</si>
  <si>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</si>
  <si>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</si>
  <si>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</si>
  <si>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</si>
  <si>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</si>
  <si>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</si>
  <si>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</si>
  <si>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</si>
  <si>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</si>
  <si>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</si>
  <si>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</si>
  <si>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</si>
  <si>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</si>
  <si>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</si>
  <si>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</si>
  <si>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</si>
  <si>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</si>
  <si>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</si>
  <si>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</si>
  <si>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</si>
  <si>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</si>
  <si>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</si>
  <si>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</si>
  <si>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</si>
  <si>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</si>
  <si>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</si>
  <si>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</si>
  <si>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</si>
  <si>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</si>
  <si>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</si>
  <si>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</si>
  <si>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</si>
  <si>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</si>
  <si>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</si>
  <si>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</si>
  <si>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</si>
  <si>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</si>
  <si>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</si>
  <si>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</si>
  <si>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</si>
  <si>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</si>
  <si>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</si>
  <si>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</si>
  <si>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</si>
  <si>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</si>
  <si>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</si>
  <si>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</si>
  <si>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</si>
  <si>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</si>
  <si>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</si>
  <si>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</si>
  <si>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</si>
  <si>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</si>
  <si>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</si>
  <si>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</si>
  <si>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</si>
  <si>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</si>
  <si>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</si>
  <si>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</si>
  <si>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</si>
  <si>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</si>
  <si>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</si>
  <si>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</si>
  <si>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</si>
  <si>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</si>
  <si>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</si>
  <si>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</si>
  <si>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</si>
  <si>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</si>
  <si>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</si>
  <si>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</si>
  <si>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</si>
  <si>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</si>
  <si>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</si>
  <si>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</si>
  <si>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</si>
  <si>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</si>
  <si>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</si>
  <si>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</si>
  <si>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</si>
  <si>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</si>
  <si>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</si>
  <si>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</si>
  <si>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</si>
  <si>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</si>
  <si>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</si>
  <si>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</si>
  <si>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</si>
  <si>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</si>
  <si>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</si>
  <si>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</si>
  <si>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</si>
  <si>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</si>
  <si>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</si>
  <si>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</si>
  <si>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</si>
  <si>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</si>
  <si>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</si>
  <si>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</si>
  <si>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</si>
  <si>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</si>
  <si>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</si>
  <si>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</si>
  <si>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</si>
  <si>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</si>
  <si>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</si>
  <si>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</si>
  <si>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</si>
  <si>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</si>
  <si>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</si>
  <si>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</si>
  <si>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</si>
  <si>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</si>
  <si>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</si>
  <si>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</si>
  <si>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</si>
  <si>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</si>
  <si>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</si>
  <si>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</si>
  <si>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</si>
  <si>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</si>
  <si>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</si>
  <si>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</si>
  <si>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</si>
  <si>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</si>
  <si>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</si>
  <si>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</si>
  <si>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</si>
  <si>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</si>
  <si>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</si>
  <si>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</si>
  <si>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</si>
  <si>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</si>
  <si>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</si>
  <si>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</si>
  <si>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</si>
  <si>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</si>
  <si>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</si>
  <si>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</si>
  <si>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</si>
  <si>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</si>
  <si>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</si>
  <si>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</si>
  <si>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</si>
  <si>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</si>
  <si>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</si>
  <si>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</si>
  <si>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</si>
  <si>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</si>
  <si>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</si>
  <si>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</si>
  <si>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</si>
  <si>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</si>
  <si>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</si>
  <si>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</si>
  <si>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</si>
  <si>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</si>
  <si>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</si>
  <si>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</si>
  <si>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</si>
  <si>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</si>
  <si>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</si>
  <si>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</si>
  <si>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</si>
  <si>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</si>
  <si>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</si>
  <si>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</si>
  <si>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</si>
  <si>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</si>
  <si>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</si>
  <si>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</si>
  <si>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</si>
  <si>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</si>
  <si>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</si>
  <si>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</si>
  <si>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</si>
  <si>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</si>
  <si>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</si>
  <si>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</si>
  <si>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</si>
  <si>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</si>
  <si>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</si>
  <si>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</si>
  <si>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</si>
  <si>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</si>
  <si>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</si>
  <si>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</si>
  <si>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</si>
  <si>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</si>
  <si>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</si>
  <si>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</si>
  <si>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</si>
  <si>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</si>
  <si>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</si>
  <si>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</si>
  <si>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</si>
  <si>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</si>
  <si>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</si>
  <si>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</si>
  <si>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</si>
  <si>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</si>
  <si>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</si>
  <si>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</si>
  <si>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</si>
  <si>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</si>
  <si>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</si>
  <si>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</si>
  <si>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</si>
  <si>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</si>
  <si>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</si>
  <si>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</si>
  <si>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</si>
  <si>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</si>
  <si>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</si>
  <si>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</si>
  <si>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</si>
  <si>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</si>
  <si>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</si>
  <si>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</si>
  <si>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</si>
  <si>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</si>
  <si>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</si>
  <si>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</si>
  <si>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</si>
  <si>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</si>
  <si>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</si>
  <si>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</si>
  <si>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</si>
  <si>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</si>
  <si>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</si>
  <si>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</si>
  <si>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</si>
  <si>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</si>
  <si>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</si>
  <si>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</si>
  <si>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</si>
  <si>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</si>
  <si>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</si>
  <si>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</si>
  <si>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</si>
  <si>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</si>
  <si>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</si>
  <si>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</si>
  <si>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</si>
  <si>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</si>
  <si>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</si>
  <si>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</si>
  <si>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</si>
  <si>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</si>
  <si>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</si>
  <si>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</si>
  <si>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</si>
  <si>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</si>
  <si>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</si>
  <si>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</si>
  <si>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</si>
  <si>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</si>
  <si>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</si>
  <si>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</si>
  <si>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</si>
  <si>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</si>
  <si>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</si>
  <si>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</si>
  <si>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</si>
  <si>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</si>
  <si>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</si>
  <si>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</si>
  <si>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</si>
  <si>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</si>
  <si>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</si>
  <si>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</si>
  <si>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</si>
  <si>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</si>
  <si>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</si>
  <si>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</si>
  <si>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</si>
  <si>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</si>
  <si>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</si>
  <si>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</si>
  <si>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</si>
  <si>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</si>
  <si>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</si>
  <si>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</si>
  <si>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</si>
  <si>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</si>
  <si>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</si>
  <si>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</si>
  <si>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</si>
  <si>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</si>
  <si>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</si>
  <si>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</si>
  <si>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</si>
  <si>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</si>
  <si>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</si>
  <si>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</si>
  <si>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</si>
  <si>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</si>
  <si>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</si>
  <si>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</si>
  <si>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</si>
  <si>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</si>
  <si>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</si>
  <si>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</si>
  <si>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</si>
  <si>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</si>
  <si>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</si>
  <si>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</si>
  <si>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</si>
  <si>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</si>
  <si>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</si>
  <si>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</si>
  <si>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</si>
  <si>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</si>
  <si>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</si>
  <si>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</si>
  <si>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</si>
  <si>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</si>
  <si>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</si>
  <si>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</si>
  <si>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</si>
  <si>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</si>
  <si>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</si>
  <si>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</si>
  <si>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</si>
  <si>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</si>
  <si>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</si>
  <si>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</si>
  <si>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</si>
  <si>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</si>
  <si>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</si>
  <si>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</si>
  <si>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</si>
  <si>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</si>
  <si>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</si>
  <si>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</si>
  <si>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</si>
  <si>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</si>
  <si>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</si>
  <si>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</si>
  <si>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</si>
  <si>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</si>
  <si>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</si>
  <si>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</si>
  <si>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</si>
  <si>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</si>
  <si>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</si>
  <si>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</si>
  <si>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</si>
  <si>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</si>
  <si>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</si>
  <si>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</si>
  <si>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</si>
  <si>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</si>
  <si>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</si>
  <si>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</si>
  <si>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</si>
  <si>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</si>
  <si>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</si>
  <si>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</si>
  <si>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</si>
  <si>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</si>
  <si>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</si>
  <si>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</si>
  <si>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</si>
  <si>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</si>
  <si>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</si>
  <si>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</si>
  <si>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</si>
  <si>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</si>
  <si>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</si>
  <si>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</si>
  <si>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</si>
  <si>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</si>
  <si>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</si>
  <si>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</si>
  <si>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</si>
  <si>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</si>
  <si>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</si>
  <si>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</si>
  <si>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</si>
  <si>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</si>
  <si>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</si>
  <si>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</si>
  <si>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</si>
  <si>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</si>
  <si>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</si>
  <si>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</si>
  <si>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</si>
  <si>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</si>
  <si>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</si>
  <si>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</si>
  <si>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</si>
  <si>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</si>
  <si>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</si>
  <si>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</si>
  <si>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</si>
  <si>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</si>
  <si>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</si>
  <si>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</si>
  <si>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</si>
  <si>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</si>
  <si>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</si>
  <si>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</si>
  <si>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</si>
  <si>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</si>
  <si>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</si>
  <si>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</si>
  <si>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</si>
  <si>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</si>
  <si>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</si>
  <si>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</si>
  <si>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</si>
  <si>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</si>
  <si>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</si>
  <si>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</si>
  <si>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</si>
  <si>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</si>
  <si>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</si>
  <si>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</si>
  <si>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</si>
  <si>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</si>
  <si>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</si>
  <si>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</si>
  <si>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</si>
  <si>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</si>
  <si>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</si>
  <si>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</si>
  <si>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</si>
  <si>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</si>
  <si>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</si>
  <si>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</si>
  <si>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</si>
  <si>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</si>
  <si>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</si>
  <si>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</si>
  <si>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</si>
  <si>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</si>
  <si>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</si>
  <si>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</si>
  <si>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</si>
  <si>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</si>
  <si>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</si>
  <si>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</si>
  <si>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</si>
  <si>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</si>
  <si>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</si>
  <si>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</si>
  <si>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</si>
  <si>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</si>
  <si>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</si>
  <si>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</si>
  <si>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</si>
  <si>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</si>
  <si>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</si>
  <si>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</si>
  <si>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</si>
  <si>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</si>
  <si>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</si>
  <si>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</si>
  <si>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</si>
  <si>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</si>
  <si>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</si>
  <si>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</si>
  <si>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</si>
  <si>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</si>
  <si>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</si>
  <si>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</si>
  <si>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</si>
  <si>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</si>
  <si>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</si>
  <si>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</si>
  <si>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</si>
  <si>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</si>
  <si>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</si>
  <si>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</si>
  <si>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</si>
  <si>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</si>
  <si>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</si>
  <si>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</si>
  <si>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</si>
  <si>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</si>
  <si>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</si>
  <si>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</si>
  <si>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</si>
  <si>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</si>
  <si>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</si>
  <si>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</si>
  <si>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</si>
  <si>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</si>
  <si>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</si>
  <si>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</si>
  <si>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</si>
  <si>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</si>
  <si>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</si>
  <si>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</si>
  <si>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</si>
  <si>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</si>
  <si>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</si>
  <si>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</si>
  <si>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</si>
  <si>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</si>
  <si>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</si>
  <si>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</si>
  <si>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</si>
  <si>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</si>
  <si>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</si>
  <si>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</si>
  <si>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</si>
  <si>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</si>
  <si>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</si>
  <si>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</si>
  <si>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</si>
  <si>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</si>
  <si>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</si>
  <si>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</si>
  <si>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</si>
  <si>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</si>
  <si>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</si>
  <si>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</si>
  <si>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</si>
  <si>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</si>
  <si>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</si>
  <si>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</si>
  <si>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</si>
  <si>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</si>
  <si>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</si>
  <si>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</si>
  <si>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</si>
  <si>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</si>
  <si>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</si>
  <si>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</si>
  <si>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</si>
  <si>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</si>
  <si>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</si>
  <si>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</si>
  <si>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</si>
  <si>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</si>
  <si>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</si>
  <si>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</si>
  <si>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</si>
  <si>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</si>
  <si>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</si>
  <si>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</si>
  <si>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</si>
  <si>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</si>
  <si>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</si>
  <si>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</si>
  <si>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</si>
  <si>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</si>
  <si>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</si>
  <si>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</si>
  <si>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</si>
  <si>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</si>
  <si>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</si>
  <si>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</si>
  <si>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</si>
  <si>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</si>
  <si>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</si>
  <si>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</si>
  <si>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</si>
  <si>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</si>
  <si>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</si>
  <si>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</si>
  <si>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</si>
  <si>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</si>
  <si>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</si>
  <si>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</si>
  <si>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</si>
  <si>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</si>
  <si>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</si>
  <si>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</si>
  <si>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</si>
  <si>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</si>
  <si>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</si>
  <si>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</si>
  <si>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</si>
  <si>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</si>
  <si>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</si>
  <si>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</si>
  <si>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</si>
  <si>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</si>
  <si>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</si>
  <si>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</si>
  <si>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</si>
  <si>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</si>
  <si>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</si>
  <si>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</si>
  <si>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</si>
  <si>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</si>
  <si>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</si>
  <si>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</si>
  <si>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</si>
  <si>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</si>
  <si>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</si>
  <si>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</si>
  <si>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</si>
  <si>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</si>
  <si>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</si>
  <si>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</si>
  <si>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</si>
  <si>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</si>
  <si>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</si>
  <si>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</si>
  <si>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</si>
  <si>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</si>
  <si>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</si>
  <si>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</si>
  <si>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</si>
  <si>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</si>
  <si>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</si>
  <si>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</si>
  <si>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</si>
  <si>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</si>
  <si>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</si>
  <si>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</si>
  <si>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</si>
  <si>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</si>
  <si>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</si>
  <si>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</si>
  <si>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</si>
  <si>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</si>
  <si>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</si>
  <si>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</si>
  <si>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</si>
  <si>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</si>
  <si>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</si>
  <si>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</si>
  <si>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</si>
  <si>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</si>
  <si>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</si>
  <si>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</si>
  <si>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</si>
  <si>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</si>
  <si>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</si>
  <si>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</si>
  <si>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</si>
  <si>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</si>
  <si>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</si>
  <si>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</si>
  <si>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</si>
  <si>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</si>
  <si>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</si>
  <si>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</si>
  <si>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</si>
  <si>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</si>
  <si>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</si>
  <si>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</si>
  <si>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</si>
  <si>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</si>
  <si>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</si>
  <si>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</si>
  <si>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</si>
  <si>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</si>
  <si>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</si>
  <si>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</si>
  <si>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</si>
  <si>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</si>
  <si>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</si>
  <si>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</si>
  <si>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</si>
  <si>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</si>
  <si>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</si>
  <si>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</si>
  <si>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</si>
  <si>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</si>
  <si>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</si>
  <si>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</si>
  <si>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</si>
  <si>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</si>
  <si>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</si>
  <si>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</si>
  <si>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</si>
  <si>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</si>
  <si>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</si>
  <si>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</si>
  <si>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</si>
  <si>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</si>
  <si>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</si>
  <si>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</si>
  <si>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</si>
  <si>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</si>
  <si>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</si>
  <si>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</si>
  <si>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</si>
  <si>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</si>
  <si>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</si>
  <si>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</si>
  <si>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</si>
  <si>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</si>
  <si>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</si>
  <si>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</si>
  <si>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</si>
  <si>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</si>
  <si>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</si>
  <si>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</si>
  <si>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</si>
  <si>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</si>
  <si>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</si>
  <si>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</si>
  <si>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</si>
  <si>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</si>
  <si>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</si>
  <si>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</si>
  <si>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</si>
  <si>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</si>
  <si>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</si>
  <si>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</si>
  <si>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</si>
  <si>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</si>
  <si>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</si>
  <si>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</si>
  <si>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</si>
  <si>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</si>
  <si>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</si>
  <si>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</si>
  <si>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</si>
  <si>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</si>
  <si>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</si>
  <si>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</si>
  <si>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</si>
  <si>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</si>
  <si>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</si>
  <si>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</si>
  <si>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</si>
  <si>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</si>
  <si>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</si>
  <si>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</si>
  <si>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</si>
  <si>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</si>
  <si>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</si>
  <si>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</si>
  <si>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</si>
  <si>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</si>
  <si>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</si>
  <si>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</si>
  <si>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</si>
  <si>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</si>
  <si>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</si>
  <si>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</si>
  <si>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</si>
  <si>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</si>
  <si>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</si>
  <si>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</si>
  <si>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</si>
  <si>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</si>
  <si>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</si>
  <si>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</si>
  <si>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</si>
  <si>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</si>
  <si>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</si>
  <si>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</si>
  <si>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</si>
  <si>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</si>
  <si>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</si>
  <si>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</si>
  <si>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</si>
  <si>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</si>
  <si>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</si>
  <si>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</si>
  <si>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</si>
  <si>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</si>
  <si>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</si>
  <si>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</si>
  <si>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</si>
  <si>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</si>
  <si>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</si>
  <si>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</si>
  <si>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</si>
  <si>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</si>
  <si>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</si>
  <si>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</si>
  <si>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</si>
  <si>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</si>
  <si>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</si>
  <si>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</si>
  <si>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</si>
  <si>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</si>
  <si>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</si>
  <si>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</si>
  <si>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</si>
  <si>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</si>
  <si>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</si>
  <si>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</si>
  <si>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</si>
  <si>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</si>
  <si>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</si>
  <si>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</si>
  <si>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</si>
  <si>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</si>
  <si>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</si>
  <si>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</si>
  <si>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</si>
  <si>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</si>
  <si>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</si>
  <si>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</si>
  <si>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</si>
  <si>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</si>
  <si>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</si>
  <si>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</si>
  <si>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</si>
  <si>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</si>
  <si>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</si>
  <si>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</si>
  <si>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</si>
  <si>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</si>
  <si>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</si>
  <si>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</si>
  <si>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</si>
  <si>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</si>
  <si>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</si>
  <si>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</si>
  <si>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</si>
  <si>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</si>
  <si>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</si>
  <si>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</si>
  <si>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</si>
  <si>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</si>
  <si>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</si>
  <si>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</si>
  <si>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</si>
  <si>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</si>
  <si>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</si>
  <si>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</si>
  <si>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</si>
  <si>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</si>
  <si>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</si>
  <si>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</si>
  <si>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</si>
  <si>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</si>
  <si>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</si>
  <si>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</si>
  <si>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</si>
  <si>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</si>
  <si>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</si>
  <si>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</si>
  <si>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</si>
  <si>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</si>
  <si>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</si>
  <si>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</si>
  <si>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</si>
  <si>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</si>
  <si>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</si>
  <si>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</si>
  <si>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</si>
  <si>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</si>
  <si>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</si>
  <si>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</si>
  <si>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</si>
  <si>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</si>
  <si>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</si>
  <si>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</si>
  <si>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</si>
  <si>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</si>
  <si>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</si>
  <si>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</si>
  <si>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</si>
  <si>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</si>
  <si>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</si>
  <si>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</si>
  <si>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</si>
  <si>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</si>
  <si>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</si>
  <si>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</si>
  <si>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</si>
  <si>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</si>
  <si>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</si>
  <si>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</si>
  <si>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</si>
  <si>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</si>
  <si>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</si>
  <si>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</si>
  <si>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</si>
  <si>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</si>
  <si>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</si>
  <si>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</si>
  <si>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</si>
  <si>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</si>
  <si>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</si>
  <si>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</si>
  <si>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</si>
  <si>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</si>
  <si>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</si>
  <si>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</si>
  <si>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</si>
  <si>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</si>
  <si>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</si>
  <si>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</si>
  <si>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</si>
  <si>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</si>
  <si>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</si>
  <si>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</si>
  <si>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</si>
  <si>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</si>
  <si>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</si>
  <si>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</si>
  <si>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</si>
  <si>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</si>
  <si>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</si>
  <si>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</si>
  <si>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</si>
  <si>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</si>
  <si>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</si>
  <si>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</si>
  <si>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</si>
  <si>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</si>
  <si>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</si>
  <si>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</si>
  <si>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</si>
  <si>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</si>
  <si>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</si>
  <si>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</si>
  <si>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</si>
  <si>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</si>
  <si>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</si>
  <si>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</si>
  <si>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</si>
  <si>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</si>
  <si>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</si>
  <si>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</si>
  <si>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</si>
  <si>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</si>
  <si>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</si>
  <si>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</si>
  <si>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</si>
  <si>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</si>
  <si>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</si>
  <si>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</si>
  <si>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</si>
  <si>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</si>
  <si>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</si>
  <si>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</si>
  <si>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</si>
  <si>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</si>
  <si>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</si>
  <si>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</si>
  <si>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</si>
  <si>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</si>
  <si>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</si>
  <si>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</si>
  <si>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</si>
  <si>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</si>
  <si>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</si>
  <si>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</si>
  <si>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</si>
  <si>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</si>
  <si>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</si>
  <si>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</si>
  <si>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</si>
  <si>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</si>
  <si>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</si>
  <si>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</si>
  <si>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</si>
  <si>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</si>
  <si>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</si>
  <si>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</si>
  <si>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</si>
  <si>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</si>
  <si>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</si>
  <si>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</si>
  <si>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</si>
  <si>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</si>
  <si>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</si>
  <si>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</si>
  <si>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</si>
  <si>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</si>
  <si>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</si>
  <si>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</si>
  <si>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</si>
  <si>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</si>
  <si>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</si>
  <si>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</si>
  <si>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</si>
  <si>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</si>
  <si>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</si>
  <si>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</si>
  <si>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</si>
  <si>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</si>
  <si>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</si>
  <si>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</si>
  <si>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</si>
  <si>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</si>
  <si>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</si>
  <si>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</si>
  <si>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</si>
  <si>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</si>
  <si>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</si>
  <si>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</si>
  <si>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</si>
  <si>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</si>
  <si>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</si>
  <si>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</si>
  <si>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</si>
  <si>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</si>
  <si>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</si>
  <si>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</si>
  <si>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</si>
  <si>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</si>
  <si>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</si>
  <si>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</si>
  <si>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</si>
  <si>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</si>
  <si>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</si>
  <si>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</si>
  <si>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</si>
  <si>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</si>
  <si>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</si>
  <si>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</si>
  <si>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</si>
  <si>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</si>
  <si>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</si>
  <si>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</si>
  <si>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</si>
  <si>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</si>
  <si>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</si>
  <si>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</si>
  <si>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</si>
  <si>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</si>
  <si>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</si>
  <si>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</si>
  <si>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</si>
  <si>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</si>
  <si>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</si>
  <si>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</si>
  <si>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</si>
  <si>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</si>
  <si>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</si>
  <si>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</si>
  <si>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</si>
  <si>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</si>
  <si>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</si>
  <si>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</si>
  <si>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</si>
  <si>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</si>
  <si>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</si>
  <si>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</si>
  <si>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</si>
  <si>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</si>
  <si>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</si>
  <si>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</si>
  <si>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</si>
  <si>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</si>
  <si>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</si>
  <si>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</si>
  <si>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</si>
  <si>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</si>
  <si>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</si>
  <si>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</si>
  <si>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</si>
  <si>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</si>
  <si>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</si>
  <si>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</si>
  <si>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</si>
  <si>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</si>
  <si>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</si>
  <si>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</si>
  <si>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</si>
  <si>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</si>
  <si>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</si>
  <si>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</si>
  <si>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</si>
  <si>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</si>
  <si>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</si>
  <si>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</si>
  <si>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</si>
  <si>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</si>
  <si>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</si>
  <si>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</si>
  <si>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</si>
  <si>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</si>
  <si>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</si>
  <si>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</si>
  <si>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</si>
  <si>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</si>
  <si>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</si>
  <si>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</si>
  <si>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</si>
  <si>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</si>
  <si>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</si>
  <si>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</si>
  <si>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</si>
  <si>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</si>
  <si>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</si>
  <si>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</si>
  <si>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</si>
  <si>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</si>
  <si>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</si>
  <si>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</si>
  <si>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</si>
  <si>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</si>
  <si>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</si>
  <si>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</si>
  <si>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</si>
  <si>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</si>
  <si>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</si>
  <si>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</si>
  <si>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</si>
  <si>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</si>
  <si>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</si>
  <si>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</si>
  <si>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</si>
  <si>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</si>
  <si>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</si>
  <si>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</si>
  <si>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</si>
  <si>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</si>
  <si>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</si>
  <si>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</si>
  <si>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</si>
  <si>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</si>
  <si>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</si>
  <si>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</si>
  <si>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</si>
  <si>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</si>
  <si>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</si>
  <si>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</si>
  <si>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</si>
  <si>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</si>
  <si>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</si>
  <si>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</si>
  <si>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</si>
  <si>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</si>
  <si>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</si>
  <si>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</si>
  <si>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</si>
  <si>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</si>
  <si>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</si>
  <si>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</si>
  <si>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</si>
  <si>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</si>
  <si>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</si>
  <si>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</si>
  <si>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</si>
  <si>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</si>
  <si>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</si>
  <si>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</si>
  <si>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</si>
  <si>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</si>
  <si>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</si>
  <si>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</si>
  <si>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</si>
  <si>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</si>
  <si>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</si>
  <si>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</si>
  <si>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</si>
  <si>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</si>
  <si>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</si>
  <si>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</si>
  <si>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</si>
  <si>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</si>
  <si>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</si>
  <si>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</si>
  <si>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</si>
  <si>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</si>
  <si>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</si>
  <si>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</si>
  <si>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</si>
  <si>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</si>
  <si>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</si>
  <si>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</si>
  <si>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</si>
  <si>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</si>
  <si>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</si>
  <si>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</si>
  <si>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</si>
  <si>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</si>
  <si>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</si>
  <si>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</si>
  <si>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</si>
  <si>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</si>
  <si>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</si>
  <si>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</si>
  <si>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</si>
  <si>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</si>
  <si>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</si>
  <si>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</si>
  <si>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</si>
  <si>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</si>
  <si>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</si>
  <si>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</si>
  <si>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</si>
  <si>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</si>
  <si>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</si>
  <si>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</si>
  <si>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</si>
  <si>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</si>
  <si>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</si>
  <si>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</si>
  <si>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</si>
  <si>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</si>
  <si>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</si>
  <si>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</si>
  <si>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</si>
  <si>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</si>
  <si>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</si>
  <si>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</si>
  <si>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</si>
  <si>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</si>
  <si>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</si>
  <si>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</si>
  <si>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</si>
  <si>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</si>
  <si>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</si>
  <si>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</si>
  <si>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</si>
  <si>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</si>
  <si>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</si>
  <si>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</si>
  <si>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</si>
  <si>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</si>
  <si>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</si>
  <si>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</si>
  <si>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</si>
  <si>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</si>
  <si>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</si>
  <si>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</si>
  <si>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</si>
  <si>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</si>
  <si>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</si>
  <si>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</si>
  <si>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</si>
  <si>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</si>
  <si>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</si>
  <si>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</si>
  <si>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</si>
  <si>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</si>
  <si>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</si>
  <si>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</si>
  <si>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</si>
  <si>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</si>
  <si>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</si>
  <si>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</si>
  <si>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</si>
  <si>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</si>
  <si>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</si>
  <si>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</si>
  <si>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</si>
  <si>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</si>
  <si>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</si>
  <si>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</si>
  <si>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</si>
  <si>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</si>
  <si>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</si>
  <si>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</si>
  <si>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</si>
  <si>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</si>
  <si>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</si>
  <si>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</si>
  <si>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</si>
  <si>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</si>
  <si>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</si>
  <si>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</si>
  <si>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</si>
  <si>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</si>
  <si>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</si>
  <si>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</si>
  <si>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</si>
  <si>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</si>
  <si>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</si>
  <si>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</si>
  <si>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</si>
  <si>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</si>
  <si>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</si>
  <si>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</si>
  <si>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</si>
  <si>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</si>
  <si>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</si>
  <si>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</si>
  <si>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</si>
  <si>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</si>
  <si>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</si>
  <si>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</si>
  <si>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</si>
  <si>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</si>
  <si>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</si>
  <si>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</si>
  <si>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</si>
  <si>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</si>
  <si>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</si>
  <si>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</si>
  <si>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</si>
  <si>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</si>
  <si>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</si>
  <si>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</si>
  <si>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</si>
  <si>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</si>
  <si>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</si>
  <si>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</si>
  <si>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</si>
  <si>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</si>
  <si>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</si>
  <si>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</si>
  <si>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</si>
  <si>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</si>
  <si>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</si>
  <si>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</si>
  <si>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</si>
  <si>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</si>
  <si>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</si>
  <si>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</si>
  <si>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</si>
  <si>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</si>
  <si>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</si>
  <si>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</si>
  <si>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</si>
  <si>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</si>
  <si>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</si>
  <si>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</si>
  <si>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</si>
  <si>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</si>
  <si>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</si>
  <si>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</si>
  <si>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</si>
  <si>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</si>
  <si>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</si>
  <si>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</si>
  <si>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</si>
  <si>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</si>
  <si>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</si>
  <si>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</si>
  <si>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</si>
  <si>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</si>
  <si>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</si>
  <si>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</si>
  <si>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</si>
  <si>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</si>
  <si>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</si>
  <si>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</si>
  <si>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</si>
  <si>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</si>
  <si>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</si>
  <si>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</si>
  <si>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</si>
  <si>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</si>
  <si>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</si>
  <si>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</si>
  <si>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</si>
  <si>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</si>
  <si>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</si>
  <si>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</si>
  <si>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</si>
  <si>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</si>
  <si>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</si>
  <si>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</si>
  <si>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</si>
  <si>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</si>
  <si>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</si>
  <si>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</si>
  <si>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</si>
  <si>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</si>
  <si>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</si>
  <si>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</si>
  <si>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</si>
  <si>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</si>
  <si>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</si>
  <si>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</si>
  <si>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</si>
  <si>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</si>
  <si>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</si>
  <si>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</si>
  <si>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</si>
  <si>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</si>
  <si>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</si>
  <si>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</si>
  <si>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</si>
  <si>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</si>
  <si>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</si>
  <si>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</si>
  <si>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</si>
  <si>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</si>
  <si>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</si>
  <si>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</si>
  <si>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</si>
  <si>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</si>
  <si>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</si>
  <si>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</si>
  <si>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</si>
  <si>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</si>
  <si>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</si>
  <si>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</si>
  <si>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</si>
  <si>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</si>
  <si>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</si>
  <si>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</si>
  <si>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</si>
  <si>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</si>
  <si>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</si>
  <si>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</si>
  <si>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</si>
  <si>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</si>
  <si>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</si>
  <si>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</si>
  <si>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</si>
  <si>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</si>
  <si>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</si>
  <si>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</si>
  <si>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</si>
  <si>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</si>
  <si>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</si>
  <si>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</si>
  <si>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</si>
  <si>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</si>
  <si>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</si>
  <si>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</si>
  <si>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</si>
  <si>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</si>
  <si>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</si>
  <si>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</si>
  <si>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</si>
  <si>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</si>
  <si>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</si>
  <si>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</si>
  <si>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</si>
  <si>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</si>
  <si>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</si>
  <si>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</si>
  <si>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</si>
  <si>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</si>
  <si>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</si>
  <si>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</si>
  <si>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</si>
  <si>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</si>
  <si>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</si>
  <si>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</si>
  <si>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</si>
  <si>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</si>
  <si>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</si>
  <si>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</si>
  <si>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</si>
  <si>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</si>
  <si>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</si>
  <si>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</si>
  <si>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</si>
  <si>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</si>
  <si>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</si>
  <si>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</si>
  <si>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</si>
  <si>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</si>
  <si>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</si>
  <si>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</si>
  <si>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</si>
  <si>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</si>
  <si>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</si>
  <si>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</si>
  <si>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</si>
  <si>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</si>
  <si>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</si>
  <si>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</si>
  <si>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</si>
  <si>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</si>
  <si>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</si>
  <si>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</si>
  <si>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</si>
  <si>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</si>
  <si>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</si>
  <si>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</si>
  <si>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</si>
  <si>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</si>
  <si>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</si>
  <si>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</si>
  <si>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</si>
  <si>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</si>
  <si>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</si>
  <si>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</si>
  <si>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</si>
  <si>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</si>
  <si>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</si>
  <si>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</si>
  <si>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</si>
  <si>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</si>
  <si>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</si>
  <si>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</si>
  <si>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</si>
  <si>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</si>
  <si>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</si>
  <si>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</si>
  <si>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</si>
  <si>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</si>
  <si>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</si>
  <si>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</si>
  <si>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</si>
  <si>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</si>
  <si>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</si>
  <si>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</si>
  <si>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</si>
  <si>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</si>
  <si>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</si>
  <si>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</si>
  <si>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</si>
  <si>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</si>
  <si>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</si>
  <si>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</si>
  <si>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</si>
  <si>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</si>
  <si>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</si>
  <si>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</si>
  <si>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</si>
  <si>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</si>
  <si>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</si>
  <si>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</si>
  <si>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</si>
  <si>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</si>
  <si>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</si>
  <si>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</si>
  <si>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</si>
  <si>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</si>
  <si>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</si>
  <si>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</si>
  <si>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</si>
  <si>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</si>
  <si>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</si>
  <si>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</si>
  <si>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</si>
  <si>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</si>
  <si>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</si>
  <si>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</si>
  <si>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</si>
  <si>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</si>
  <si>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</si>
  <si>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</si>
  <si>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</si>
  <si>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</si>
  <si>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</si>
  <si>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</si>
  <si>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</si>
  <si>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</si>
  <si>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</si>
  <si>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</si>
  <si>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</si>
  <si>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</si>
  <si>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</si>
  <si>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</si>
  <si>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</si>
  <si>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</si>
  <si>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</si>
  <si>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</si>
  <si>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</si>
  <si>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</si>
  <si>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</si>
  <si>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</si>
  <si>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</si>
  <si>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</si>
  <si>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</si>
  <si>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</si>
  <si>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</si>
  <si>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</si>
  <si>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</si>
  <si>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</si>
  <si>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</si>
  <si>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</si>
  <si>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</si>
  <si>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</si>
  <si>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</si>
  <si>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</si>
  <si>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</si>
  <si>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</si>
  <si>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</si>
  <si>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</si>
  <si>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</si>
  <si>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</si>
  <si>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</si>
  <si>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</si>
  <si>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</si>
  <si>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</si>
  <si>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</si>
  <si>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</si>
  <si>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</si>
  <si>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</si>
  <si>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</si>
  <si>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</si>
  <si>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</si>
  <si>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</si>
  <si>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</si>
  <si>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</si>
  <si>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</si>
  <si>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</si>
  <si>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</si>
  <si>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</si>
  <si>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</si>
  <si>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</si>
  <si>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</si>
  <si>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</si>
  <si>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</si>
  <si>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</si>
  <si>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</si>
  <si>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</si>
  <si>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</si>
  <si>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</si>
  <si>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</si>
  <si>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</si>
  <si>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</si>
  <si>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</si>
  <si>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</si>
  <si>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</si>
  <si>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</si>
  <si>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</si>
  <si>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</si>
  <si>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</si>
  <si>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</si>
  <si>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</si>
  <si>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</si>
  <si>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</si>
  <si>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</si>
  <si>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</si>
  <si>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</si>
  <si>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</si>
  <si>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</si>
  <si>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</si>
  <si>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</si>
  <si>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</si>
  <si>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</si>
  <si>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</si>
  <si>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</si>
  <si>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</si>
  <si>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</si>
  <si>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</si>
  <si>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</si>
  <si>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</si>
  <si>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</si>
  <si>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</si>
  <si>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</si>
  <si>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</si>
  <si>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</si>
  <si>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</si>
  <si>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</si>
  <si>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</si>
  <si>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</si>
  <si>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</si>
  <si>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</si>
  <si>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</si>
  <si>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</si>
  <si>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</si>
  <si>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</si>
  <si>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</si>
  <si>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</si>
  <si>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</si>
  <si>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</si>
  <si>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</si>
  <si>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</si>
  <si>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</si>
  <si>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</si>
  <si>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</si>
  <si>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</si>
  <si>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</si>
  <si>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</si>
  <si>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</si>
  <si>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</si>
  <si>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</si>
  <si>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</si>
  <si>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</si>
  <si>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</si>
  <si>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</si>
  <si>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</si>
  <si>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</si>
  <si>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</si>
  <si>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</si>
  <si>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</si>
  <si>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</si>
  <si>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</si>
  <si>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</si>
  <si>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</si>
  <si>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</si>
  <si>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</si>
  <si>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</si>
  <si>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</si>
  <si>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</si>
  <si>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</si>
  <si>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</si>
  <si>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</si>
  <si>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</si>
  <si>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</si>
  <si>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</si>
  <si>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</si>
  <si>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</si>
  <si>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</si>
  <si>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</si>
  <si>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</si>
  <si>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</si>
  <si>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</si>
  <si>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</si>
  <si>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</si>
  <si>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</si>
  <si>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</si>
  <si>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</si>
  <si>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</si>
  <si>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</si>
  <si>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</si>
  <si>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</si>
  <si>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</si>
  <si>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</si>
  <si>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</si>
  <si>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</si>
  <si>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</si>
  <si>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</si>
  <si>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</si>
  <si>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</si>
  <si>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</si>
  <si>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</si>
  <si>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</si>
  <si>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</si>
  <si>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</si>
  <si>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</si>
  <si>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</si>
  <si>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</si>
  <si>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</si>
  <si>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</si>
  <si>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</si>
  <si>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</si>
  <si>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</si>
  <si>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</si>
  <si>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</si>
  <si>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</si>
  <si>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</si>
  <si>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</si>
  <si>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</si>
  <si>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</si>
  <si>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</si>
  <si>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</si>
  <si>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</si>
  <si>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</si>
  <si>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</si>
  <si>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</si>
  <si>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</si>
  <si>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</si>
  <si>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</si>
  <si>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</si>
  <si>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</si>
  <si>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</si>
  <si>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</si>
  <si>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</si>
  <si>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</si>
  <si>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</si>
  <si>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</si>
  <si>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</si>
  <si>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</si>
  <si>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</si>
  <si>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</si>
  <si>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</si>
  <si>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</si>
  <si>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</si>
  <si>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</si>
  <si>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</si>
  <si>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</si>
  <si>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</si>
  <si>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</si>
  <si>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</si>
  <si>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</si>
  <si>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</si>
  <si>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</si>
  <si>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</si>
  <si>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</si>
  <si>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</si>
  <si>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</si>
  <si>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</si>
  <si>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</si>
  <si>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</si>
  <si>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</si>
  <si>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</si>
  <si>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</si>
  <si>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</si>
  <si>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</si>
  <si>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</si>
  <si>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</si>
  <si>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</si>
  <si>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</si>
  <si>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</si>
  <si>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</si>
  <si>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</si>
  <si>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</si>
  <si>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</si>
  <si>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</si>
  <si>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</si>
  <si>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</si>
  <si>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</si>
  <si>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</si>
  <si>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</si>
  <si>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</si>
  <si>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</si>
  <si>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</si>
  <si>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</si>
  <si>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</si>
  <si>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</si>
  <si>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</si>
  <si>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</si>
  <si>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</si>
  <si>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</si>
  <si>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</si>
  <si>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</si>
  <si>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</si>
  <si>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</si>
  <si>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</si>
  <si>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</si>
  <si>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</si>
  <si>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</si>
  <si>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</si>
  <si>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</si>
  <si>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</si>
  <si>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</si>
  <si>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</si>
  <si>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</si>
  <si>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</si>
  <si>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</si>
  <si>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</si>
  <si>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</si>
  <si>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</si>
  <si>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</si>
  <si>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</si>
  <si>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</si>
  <si>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</si>
  <si>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</si>
  <si>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</si>
  <si>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</si>
  <si>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</si>
  <si>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</si>
  <si>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</si>
  <si>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</si>
  <si>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</si>
  <si>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</si>
  <si>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</si>
  <si>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</si>
  <si>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</si>
  <si>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</si>
  <si>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</si>
  <si>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</si>
  <si>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</si>
  <si>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</si>
  <si>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</si>
  <si>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</si>
  <si>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</si>
  <si>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</si>
  <si>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</si>
  <si>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</si>
  <si>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</si>
  <si>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</si>
  <si>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</si>
  <si>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</si>
  <si>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</si>
  <si>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</si>
  <si>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</si>
  <si>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</si>
  <si>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</si>
  <si>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</si>
  <si>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</si>
  <si>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</si>
  <si>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</si>
  <si>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</si>
  <si>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</si>
  <si>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</si>
  <si>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</si>
  <si>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</si>
  <si>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</si>
  <si>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</si>
  <si>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</si>
  <si>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</si>
  <si>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</si>
  <si>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</si>
  <si>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</si>
  <si>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</si>
  <si>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</si>
  <si>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</si>
  <si>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</si>
  <si>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</si>
  <si>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</si>
  <si>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</si>
  <si>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</si>
  <si>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</si>
  <si>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</si>
  <si>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</si>
  <si>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</si>
  <si>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</si>
  <si>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</si>
  <si>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</si>
  <si>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</si>
  <si>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</si>
  <si>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</si>
  <si>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</si>
  <si>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</si>
  <si>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</si>
  <si>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</si>
  <si>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</si>
  <si>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</si>
  <si>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</si>
  <si>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</si>
  <si>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</si>
  <si>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</si>
  <si>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</si>
  <si>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</si>
  <si>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</si>
  <si>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</si>
  <si>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</si>
  <si>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</si>
  <si>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</si>
  <si>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</si>
  <si>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</si>
  <si>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</si>
  <si>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</si>
  <si>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</si>
  <si>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</si>
  <si>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</si>
  <si>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</si>
  <si>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</si>
  <si>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</si>
  <si>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</si>
  <si>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</si>
  <si>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</si>
  <si>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</si>
  <si>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</si>
  <si>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</si>
  <si>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</si>
  <si>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</si>
  <si>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</si>
  <si>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</si>
  <si>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</si>
  <si>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</si>
  <si>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</si>
  <si>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</si>
  <si>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</si>
  <si>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</si>
  <si>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</si>
  <si>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</si>
  <si>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</si>
  <si>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</si>
  <si>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</si>
  <si>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</si>
  <si>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</si>
  <si>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</si>
  <si>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</si>
  <si>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</si>
  <si>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</si>
  <si>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</si>
  <si>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</si>
  <si>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</si>
  <si>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</si>
  <si>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</si>
  <si>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</si>
  <si>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</si>
  <si>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</si>
  <si>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</si>
  <si>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</si>
  <si>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</si>
  <si>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</si>
  <si>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</si>
  <si>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</si>
  <si>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</si>
  <si>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</si>
  <si>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</si>
  <si>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</si>
  <si>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</si>
  <si>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</si>
  <si>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</si>
  <si>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</si>
  <si>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</si>
  <si>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</si>
  <si>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</si>
  <si>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</si>
  <si>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</si>
  <si>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</si>
  <si>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</si>
  <si>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</si>
  <si>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</si>
  <si>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</si>
  <si>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</si>
  <si>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</si>
  <si>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</si>
  <si>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</si>
  <si>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</si>
  <si>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</si>
  <si>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</si>
  <si>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</si>
  <si>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</si>
  <si>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</si>
  <si>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</si>
  <si>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</si>
  <si>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</si>
  <si>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</si>
  <si>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</si>
  <si>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</si>
  <si>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</si>
  <si>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</si>
  <si>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</si>
  <si>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</si>
  <si>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</si>
  <si>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</si>
  <si>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</si>
  <si>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</si>
  <si>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</si>
  <si>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</si>
  <si>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</si>
  <si>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</si>
  <si>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</si>
  <si>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</si>
  <si>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</si>
  <si>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</si>
  <si>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</si>
  <si>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</si>
  <si>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</si>
  <si>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</si>
  <si>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</si>
  <si>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</si>
  <si>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</si>
  <si>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</si>
  <si>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</si>
  <si>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</si>
  <si>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</si>
  <si>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</si>
  <si>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</si>
  <si>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</si>
  <si>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</si>
  <si>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</si>
  <si>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</si>
  <si>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</si>
  <si>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</si>
  <si>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</si>
  <si>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</si>
  <si>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</si>
  <si>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</si>
  <si>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</si>
  <si>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</si>
  <si>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</si>
  <si>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</si>
  <si>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</si>
  <si>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</si>
  <si>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</si>
  <si>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</si>
  <si>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</si>
  <si>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</si>
  <si>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</si>
  <si>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</si>
  <si>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</si>
  <si>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</si>
  <si>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</si>
  <si>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</si>
  <si>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</si>
  <si>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</si>
  <si>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</si>
  <si>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</si>
  <si>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</si>
  <si>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</si>
  <si>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</si>
  <si>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</si>
  <si>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</si>
  <si>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</si>
  <si>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</si>
  <si>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</si>
  <si>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</si>
  <si>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</si>
  <si>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</si>
  <si>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</si>
  <si>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</si>
  <si>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</si>
  <si>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</si>
  <si>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</si>
  <si>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</si>
  <si>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</si>
  <si>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</si>
  <si>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</si>
  <si>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</si>
  <si>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</si>
  <si>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</si>
  <si>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</si>
  <si>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</si>
  <si>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</si>
  <si>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</si>
  <si>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</si>
  <si>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</si>
  <si>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</si>
  <si>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</si>
  <si>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</si>
  <si>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</si>
  <si>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</si>
  <si>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</si>
  <si>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</si>
  <si>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</si>
  <si>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</si>
  <si>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</si>
  <si>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</si>
  <si>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</si>
  <si>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</si>
  <si>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</si>
  <si>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</si>
  <si>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</si>
  <si>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</si>
  <si>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</si>
  <si>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</si>
  <si>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</si>
  <si>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</si>
  <si>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</si>
  <si>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</si>
  <si>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</si>
  <si>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</si>
  <si>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</si>
  <si>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</si>
  <si>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</si>
  <si>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</si>
  <si>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</si>
  <si>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</si>
  <si>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</si>
  <si>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</si>
  <si>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</si>
  <si>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</si>
  <si>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</si>
  <si>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</si>
  <si>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</si>
  <si>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</si>
  <si>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</si>
  <si>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</si>
  <si>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</si>
  <si>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</si>
  <si>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</si>
  <si>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</si>
  <si>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</si>
  <si>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</si>
  <si>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</si>
  <si>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</si>
  <si>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</si>
  <si>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</si>
  <si>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</si>
  <si>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</si>
  <si>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</si>
  <si>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</si>
  <si>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</si>
  <si>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</si>
  <si>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</si>
  <si>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</si>
  <si>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</si>
  <si>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</si>
  <si>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</si>
  <si>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</si>
  <si>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</si>
  <si>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</si>
  <si>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</si>
  <si>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</si>
  <si>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</si>
  <si>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</si>
  <si>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</si>
  <si>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</si>
  <si>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</si>
  <si>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</si>
  <si>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</si>
  <si>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</si>
  <si>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</si>
  <si>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</si>
  <si>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</si>
  <si>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</si>
  <si>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</si>
  <si>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</si>
  <si>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</si>
  <si>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</si>
  <si>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</si>
  <si>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</si>
  <si>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</si>
  <si>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</si>
  <si>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</si>
  <si>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</si>
  <si>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</si>
  <si>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</si>
  <si>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</si>
  <si>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</si>
  <si>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</si>
  <si>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</si>
  <si>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</si>
  <si>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</si>
  <si>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</si>
  <si>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</si>
  <si>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</si>
  <si>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</si>
  <si>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</si>
  <si>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</si>
  <si>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</si>
  <si>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</si>
  <si>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</si>
  <si>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</si>
  <si>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</si>
  <si>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</si>
  <si>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</si>
  <si>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</si>
  <si>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</si>
  <si>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</si>
  <si>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</si>
  <si>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</si>
  <si>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</si>
  <si>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</si>
  <si>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</si>
  <si>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</si>
  <si>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</si>
  <si>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</si>
  <si>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</si>
  <si>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</si>
  <si>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</si>
  <si>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</si>
  <si>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</si>
  <si>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</si>
  <si>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</si>
  <si>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</si>
  <si>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</si>
  <si>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</si>
  <si>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</si>
  <si>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</si>
  <si>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</si>
  <si>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</si>
  <si>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</si>
  <si>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</si>
  <si>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</si>
  <si>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</si>
  <si>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</si>
  <si>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</si>
  <si>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</si>
  <si>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</si>
  <si>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</si>
  <si>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</si>
  <si>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</si>
  <si>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</si>
  <si>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</si>
  <si>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</si>
  <si>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</si>
  <si>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</si>
  <si>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</si>
  <si>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</si>
  <si>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</si>
  <si>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</si>
  <si>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</si>
  <si>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</si>
  <si>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</si>
  <si>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</si>
  <si>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</si>
  <si>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</si>
  <si>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</si>
  <si>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</si>
  <si>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</si>
  <si>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</si>
  <si>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</si>
  <si>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</si>
  <si>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</si>
  <si>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</si>
  <si>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</si>
  <si>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</si>
  <si>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</si>
  <si>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</si>
  <si>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</si>
  <si>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</si>
  <si>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</si>
  <si>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</si>
  <si>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</si>
  <si>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</si>
  <si>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</si>
  <si>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</si>
  <si>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</si>
  <si>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</si>
  <si>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</si>
  <si>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</si>
  <si>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</si>
  <si>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</si>
  <si>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</si>
  <si>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</si>
  <si>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</si>
  <si>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</si>
  <si>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</si>
  <si>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</si>
  <si>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</si>
  <si>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</si>
  <si>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</si>
  <si>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</si>
  <si>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</si>
  <si>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</si>
  <si>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</si>
  <si>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</si>
  <si>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</si>
  <si>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</si>
  <si>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</si>
  <si>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</si>
  <si>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</si>
  <si>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</si>
  <si>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</si>
  <si>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</si>
  <si>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</si>
  <si>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</si>
  <si>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</si>
  <si>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</si>
  <si>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</si>
  <si>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</si>
  <si>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</si>
  <si>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</si>
  <si>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</si>
  <si>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</si>
  <si>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</si>
  <si>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</si>
  <si>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</si>
  <si>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</si>
  <si>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</si>
  <si>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</si>
  <si>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</si>
  <si>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</si>
  <si>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</si>
  <si>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</si>
  <si>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</si>
  <si>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</si>
  <si>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</si>
  <si>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</si>
  <si>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</si>
  <si>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</si>
  <si>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</si>
  <si>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</si>
  <si>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</si>
  <si>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</si>
  <si>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</si>
  <si>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</si>
  <si>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</si>
  <si>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</si>
  <si>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</si>
  <si>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</si>
  <si>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</si>
  <si>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</si>
  <si>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</si>
  <si>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</si>
  <si>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</si>
  <si>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</si>
  <si>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</si>
  <si>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</si>
  <si>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</si>
  <si>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</si>
  <si>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</si>
  <si>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</si>
  <si>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</si>
  <si>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</si>
  <si>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</si>
  <si>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</si>
  <si>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</si>
  <si>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</si>
  <si>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</si>
  <si>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</si>
  <si>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</si>
  <si>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</si>
  <si>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</si>
  <si>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</si>
  <si>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</si>
  <si>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</si>
  <si>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</si>
  <si>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</si>
  <si>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</si>
  <si>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</si>
  <si>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</si>
  <si>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</si>
  <si>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</si>
  <si>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</si>
  <si>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</si>
  <si>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</si>
  <si>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</si>
  <si>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</si>
  <si>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</si>
  <si>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</si>
  <si>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</si>
  <si>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</si>
  <si>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</si>
  <si>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</si>
  <si>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</si>
  <si>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</si>
  <si>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</si>
  <si>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</si>
  <si>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</si>
  <si>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</si>
  <si>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</si>
  <si>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</si>
  <si>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</si>
  <si>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</si>
  <si>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</si>
  <si>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</si>
  <si>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</si>
  <si>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</si>
  <si>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</si>
  <si>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</si>
  <si>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</si>
  <si>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</si>
  <si>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</si>
  <si>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</si>
  <si>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</si>
  <si>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</si>
  <si>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</si>
  <si>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</si>
  <si>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</si>
  <si>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</si>
  <si>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</si>
  <si>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</si>
  <si>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</si>
  <si>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</si>
  <si>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</si>
  <si>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</si>
  <si>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</si>
  <si>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</si>
  <si>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</si>
  <si>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</si>
  <si>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</si>
  <si>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</si>
  <si>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</si>
  <si>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</si>
  <si>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</si>
  <si>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</si>
  <si>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</si>
  <si>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</si>
  <si>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</si>
  <si>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</si>
  <si>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</si>
  <si>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</si>
  <si>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</si>
  <si>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</si>
  <si>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</si>
  <si>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</si>
  <si>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</si>
  <si>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</si>
  <si>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</si>
  <si>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</si>
  <si>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</si>
  <si>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</si>
  <si>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</si>
  <si>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</si>
  <si>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</si>
  <si>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</si>
  <si>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</si>
  <si>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</si>
  <si>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</si>
  <si>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</si>
  <si>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</si>
  <si>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</si>
  <si>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</si>
  <si>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</si>
  <si>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</si>
  <si>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</si>
  <si>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</si>
  <si>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</si>
  <si>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</si>
  <si>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</si>
  <si>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</si>
  <si>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</si>
  <si>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</si>
  <si>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</si>
  <si>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</si>
  <si>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</si>
  <si>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</si>
  <si>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</si>
  <si>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</si>
  <si>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</si>
  <si>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</si>
  <si>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</si>
  <si>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</si>
  <si>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</si>
  <si>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</si>
  <si>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</si>
  <si>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</si>
  <si>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</si>
  <si>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</si>
  <si>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</si>
  <si>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</si>
  <si>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</si>
  <si>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</si>
  <si>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</si>
  <si>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</si>
  <si>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</si>
  <si>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</si>
  <si>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</si>
  <si>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</si>
  <si>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</si>
  <si>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</si>
  <si>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</si>
  <si>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</si>
  <si>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</si>
  <si>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</si>
  <si>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</si>
  <si>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</si>
  <si>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</si>
  <si>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</si>
  <si>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</si>
  <si>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</si>
  <si>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</si>
  <si>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</si>
  <si>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</si>
  <si>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</si>
  <si>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</si>
  <si>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</si>
  <si>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</si>
  <si>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</si>
  <si>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</si>
  <si>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</si>
  <si>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</si>
  <si>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</si>
  <si>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</si>
  <si>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</si>
  <si>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</si>
  <si>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</si>
  <si>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</si>
  <si>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</si>
  <si>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</si>
  <si>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</si>
  <si>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</si>
  <si>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</si>
  <si>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</si>
  <si>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</si>
  <si>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</si>
  <si>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</si>
  <si>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</si>
  <si>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</si>
  <si>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</si>
  <si>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</si>
  <si>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</si>
  <si>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</si>
  <si>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</si>
  <si>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</si>
  <si>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</si>
  <si>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</si>
  <si>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</si>
  <si>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</si>
  <si>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</si>
  <si>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</si>
  <si>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</si>
  <si>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</si>
  <si>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</si>
  <si>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</si>
  <si>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</si>
  <si>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</si>
  <si>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</si>
  <si>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</si>
  <si>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</si>
  <si>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</si>
  <si>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</si>
  <si>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</si>
  <si>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</si>
  <si>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</si>
  <si>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</si>
  <si>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</si>
  <si>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</si>
  <si>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</si>
  <si>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</si>
  <si>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</si>
  <si>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</si>
  <si>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</si>
  <si>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</si>
  <si>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</si>
  <si>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</si>
  <si>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</si>
  <si>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</si>
  <si>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</si>
  <si>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</si>
  <si>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</si>
  <si>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</si>
  <si>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</si>
  <si>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</si>
  <si>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</si>
  <si>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</si>
  <si>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</si>
  <si>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</si>
  <si>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</si>
  <si>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</si>
  <si>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</si>
  <si>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</si>
  <si>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</si>
  <si>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</si>
  <si>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</si>
  <si>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</si>
  <si>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</si>
  <si>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</si>
  <si>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</si>
  <si>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</si>
  <si>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</si>
  <si>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</si>
  <si>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</si>
  <si>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</si>
  <si>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</si>
  <si>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</si>
  <si>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</si>
  <si>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</si>
  <si>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</si>
  <si>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</si>
  <si>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</si>
  <si>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</si>
  <si>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</si>
  <si>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</si>
  <si>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</si>
  <si>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</si>
  <si>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</si>
  <si>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</si>
  <si>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</si>
  <si>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</si>
  <si>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</si>
  <si>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</si>
  <si>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</si>
  <si>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</si>
  <si>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</si>
  <si>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</si>
  <si>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</si>
  <si>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</si>
  <si>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</si>
  <si>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</si>
  <si>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</si>
  <si>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</si>
  <si>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</si>
  <si>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</si>
  <si>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</si>
  <si>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</si>
  <si>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</si>
  <si>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</si>
  <si>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</si>
  <si>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</si>
  <si>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</si>
  <si>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</si>
  <si>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</si>
  <si>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</si>
  <si>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</si>
  <si>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</si>
  <si>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</si>
  <si>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</si>
  <si>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</si>
  <si>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</si>
  <si>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</si>
  <si>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</si>
  <si>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</si>
  <si>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</si>
  <si>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</si>
  <si>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</si>
  <si>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</si>
  <si>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</si>
  <si>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</si>
  <si>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</si>
  <si>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</si>
  <si>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</si>
  <si>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</si>
  <si>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</si>
  <si>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</si>
  <si>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</si>
  <si>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</si>
  <si>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</si>
  <si>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</si>
  <si>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</si>
  <si>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</si>
  <si>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</si>
  <si>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</si>
  <si>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</si>
  <si>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</si>
  <si>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</si>
  <si>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</si>
  <si>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</si>
  <si>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</si>
  <si>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</si>
  <si>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</si>
  <si>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</si>
  <si>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</si>
  <si>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</si>
  <si>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</si>
  <si>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</si>
  <si>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</si>
  <si>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</si>
  <si>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</si>
  <si>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</si>
  <si>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</si>
  <si>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</si>
  <si>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</si>
  <si>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</si>
  <si>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</si>
  <si>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</si>
  <si>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</si>
  <si>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</si>
  <si>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</si>
  <si>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</si>
  <si>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</si>
  <si>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</si>
  <si>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</si>
  <si>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</si>
  <si>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</si>
  <si>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</si>
  <si>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</si>
  <si>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</si>
  <si>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</si>
  <si>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</si>
  <si>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</si>
  <si>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</si>
  <si>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</si>
  <si>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</si>
  <si>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</si>
  <si>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</si>
  <si>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</si>
  <si>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</si>
  <si>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</si>
  <si>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</si>
  <si>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</si>
  <si>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</si>
  <si>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</si>
  <si>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</si>
  <si>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</si>
  <si>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</si>
  <si>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</si>
  <si>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</si>
  <si>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</si>
  <si>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</si>
  <si>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</si>
  <si>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</si>
  <si>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</si>
  <si>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</si>
  <si>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</si>
  <si>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</si>
  <si>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</si>
  <si>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</si>
  <si>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</si>
  <si>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</si>
  <si>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</si>
  <si>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</si>
  <si>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</si>
  <si>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</si>
  <si>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</si>
  <si>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</si>
  <si>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</si>
  <si>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</si>
  <si>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</si>
  <si>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</si>
  <si>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</si>
  <si>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</si>
  <si>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</si>
  <si>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</si>
  <si>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</si>
  <si>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</si>
  <si>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</si>
  <si>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</si>
  <si>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</si>
  <si>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</si>
  <si>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</si>
  <si>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</si>
  <si>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</si>
  <si>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</si>
  <si>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</si>
  <si>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</si>
  <si>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</si>
  <si>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</si>
  <si>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</si>
  <si>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</si>
  <si>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</si>
  <si>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</si>
  <si>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</si>
  <si>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</si>
  <si>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</si>
  <si>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</si>
  <si>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</si>
  <si>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</si>
  <si>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</si>
  <si>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</si>
  <si>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</si>
  <si>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</si>
  <si>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</si>
  <si>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</si>
  <si>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</si>
  <si>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</si>
  <si>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</si>
  <si>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</si>
  <si>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</si>
  <si>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</si>
  <si>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</si>
  <si>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</si>
  <si>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</si>
  <si>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</si>
  <si>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</si>
  <si>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</si>
  <si>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</si>
  <si>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</si>
  <si>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</si>
  <si>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</si>
  <si>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</si>
  <si>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</si>
  <si>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</si>
  <si>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</si>
  <si>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</si>
  <si>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</si>
  <si>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</si>
  <si>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</si>
  <si>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</si>
  <si>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</si>
  <si>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</si>
  <si>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</si>
  <si>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</si>
  <si>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</si>
  <si>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</si>
  <si>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</si>
  <si>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</si>
  <si>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</si>
  <si>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</si>
  <si>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</si>
  <si>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</si>
  <si>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</si>
  <si>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</si>
  <si>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</si>
  <si>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</si>
  <si>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</si>
  <si>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</si>
  <si>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</si>
  <si>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</si>
  <si>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</si>
  <si>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</si>
  <si>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</si>
  <si>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</si>
  <si>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</si>
  <si>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</si>
  <si>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</si>
  <si>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</si>
  <si>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</si>
  <si>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</si>
  <si>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</si>
  <si>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</si>
  <si>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</si>
  <si>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</si>
  <si>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</si>
  <si>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</si>
  <si>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</si>
  <si>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</si>
  <si>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</si>
  <si>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</si>
  <si>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</si>
  <si>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</si>
  <si>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</si>
  <si>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</si>
  <si>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</si>
  <si>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</si>
  <si>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</si>
  <si>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</si>
  <si>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</si>
  <si>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</si>
  <si>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</si>
  <si>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</si>
  <si>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</si>
  <si>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</si>
  <si>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</si>
  <si>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</si>
  <si>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</si>
  <si>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</si>
  <si>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</si>
  <si>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</si>
  <si>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</si>
  <si>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</si>
  <si>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</si>
  <si>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</si>
  <si>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</si>
  <si>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</si>
  <si>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</si>
  <si>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</si>
  <si>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</si>
  <si>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</si>
  <si>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</si>
  <si>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</si>
  <si>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</si>
  <si>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</si>
  <si>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</si>
  <si>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</si>
  <si>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</si>
  <si>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</si>
  <si>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</si>
  <si>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</si>
  <si>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</si>
  <si>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</si>
  <si>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</si>
  <si>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</si>
  <si>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</si>
  <si>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</si>
  <si>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</si>
  <si>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</si>
  <si>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</si>
  <si>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</si>
  <si>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</si>
  <si>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</si>
  <si>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</si>
  <si>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</si>
  <si>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</si>
  <si>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</si>
  <si>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</si>
  <si>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</si>
  <si>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</si>
  <si>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</si>
  <si>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</si>
  <si>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</si>
  <si>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</si>
  <si>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</si>
  <si>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</si>
  <si>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</si>
  <si>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</si>
  <si>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</si>
  <si>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</si>
  <si>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</si>
  <si>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</si>
  <si>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</si>
  <si>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</si>
  <si>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</si>
  <si>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</si>
  <si>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</si>
  <si>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</si>
  <si>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</si>
  <si>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</si>
  <si>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</si>
  <si>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</si>
  <si>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</si>
  <si>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</si>
  <si>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</si>
  <si>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</si>
  <si>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</si>
  <si>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</si>
  <si>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</si>
  <si>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</si>
  <si>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</si>
  <si>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</si>
  <si>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</si>
  <si>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</si>
  <si>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</si>
  <si>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</si>
  <si>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</si>
  <si>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</si>
  <si>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</si>
  <si>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</si>
  <si>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</si>
  <si>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</si>
  <si>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</si>
  <si>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</si>
  <si>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</si>
  <si>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</si>
  <si>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</si>
  <si>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</si>
  <si>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</si>
  <si>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</si>
  <si>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</si>
  <si>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</si>
  <si>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</si>
  <si>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</si>
  <si>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</si>
  <si>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</si>
  <si>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</si>
  <si>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</si>
  <si>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</si>
  <si>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</si>
  <si>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</si>
  <si>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</si>
  <si>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</si>
  <si>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</si>
  <si>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</si>
  <si>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</si>
  <si>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</si>
  <si>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</si>
  <si>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</si>
  <si>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</si>
  <si>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</si>
  <si>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</si>
  <si>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</si>
  <si>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</si>
  <si>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</si>
  <si>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</si>
  <si>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</si>
  <si>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</si>
  <si>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</si>
  <si>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</si>
  <si>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</si>
  <si>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</si>
  <si>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</si>
  <si>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</si>
  <si>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</si>
  <si>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</si>
  <si>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</si>
  <si>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</si>
  <si>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</si>
  <si>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</si>
  <si>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</si>
  <si>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</si>
  <si>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</si>
  <si>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</si>
  <si>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</si>
  <si>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</si>
  <si>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</si>
  <si>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</si>
  <si>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</si>
  <si>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</si>
  <si>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</si>
  <si>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</si>
  <si>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</si>
  <si>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</si>
  <si>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</si>
  <si>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</si>
  <si>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</si>
  <si>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</si>
  <si>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</si>
  <si>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</si>
  <si>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</si>
  <si>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</si>
  <si>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</si>
  <si>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</si>
  <si>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</si>
  <si>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</si>
  <si>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</si>
  <si>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</si>
  <si>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</si>
  <si>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</si>
  <si>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</si>
  <si>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</si>
  <si>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</si>
  <si>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</si>
  <si>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</si>
  <si>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</si>
  <si>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</si>
  <si>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</si>
  <si>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</si>
  <si>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</si>
  <si>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</si>
  <si>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</si>
  <si>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</si>
  <si>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</si>
  <si>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</si>
  <si>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</si>
  <si>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</si>
  <si>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</si>
  <si>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</si>
  <si>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</si>
  <si>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</si>
  <si>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</si>
  <si>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</si>
  <si>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</si>
  <si>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</si>
  <si>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</si>
  <si>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</si>
  <si>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</si>
  <si>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</si>
  <si>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</si>
  <si>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</si>
  <si>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</si>
  <si>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</si>
  <si>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</si>
  <si>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</si>
  <si>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</si>
  <si>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</si>
  <si>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</si>
  <si>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</si>
  <si>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</si>
  <si>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</si>
  <si>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</si>
  <si>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</si>
  <si>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</si>
  <si>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</si>
  <si>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</si>
  <si>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</si>
  <si>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</si>
  <si>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</si>
  <si>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</si>
  <si>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</si>
  <si>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</si>
  <si>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</si>
  <si>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</si>
  <si>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</si>
  <si>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</si>
  <si>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</si>
  <si>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</si>
  <si>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</si>
  <si>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</si>
  <si>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</si>
  <si>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</si>
  <si>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</si>
  <si>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</si>
  <si>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</si>
  <si>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</si>
  <si>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</si>
  <si>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</si>
  <si>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</si>
  <si>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</si>
  <si>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</si>
  <si>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</si>
  <si>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</si>
  <si>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</si>
  <si>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</si>
  <si>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</si>
  <si>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</si>
  <si>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</si>
  <si>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</si>
  <si>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</si>
  <si>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</si>
  <si>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</si>
  <si>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</si>
  <si>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</si>
  <si>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</si>
  <si>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</si>
  <si>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</si>
  <si>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</si>
  <si>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</si>
  <si>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</si>
  <si>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</si>
  <si>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</si>
  <si>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</si>
  <si>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</si>
  <si>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</si>
  <si>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</si>
  <si>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</si>
  <si>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</si>
  <si>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</si>
  <si>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</si>
  <si>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</si>
  <si>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</si>
  <si>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</si>
  <si>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</si>
  <si>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</si>
  <si>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</si>
  <si>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</si>
  <si>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</si>
  <si>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</si>
  <si>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</si>
  <si>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</si>
  <si>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</si>
  <si>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</si>
  <si>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</si>
  <si>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</si>
  <si>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</si>
  <si>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</si>
  <si>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</si>
  <si>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</si>
  <si>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</si>
  <si>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</si>
  <si>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</si>
  <si>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</si>
  <si>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</si>
  <si>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</si>
  <si>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</si>
  <si>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</si>
  <si>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</si>
  <si>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</si>
  <si>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</si>
  <si>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</si>
  <si>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</si>
  <si>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</si>
  <si>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</si>
  <si>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</si>
  <si>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</si>
  <si>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</si>
  <si>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</si>
  <si>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</si>
  <si>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</si>
  <si>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</si>
  <si>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</si>
  <si>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</si>
  <si>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</si>
  <si>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</si>
  <si>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</si>
  <si>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</si>
  <si>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</si>
  <si>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</si>
  <si>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</si>
  <si>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</si>
  <si>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</si>
  <si>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</si>
  <si>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</si>
  <si>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</si>
  <si>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</si>
  <si>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</si>
  <si>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</si>
  <si>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</si>
  <si>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</si>
  <si>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</si>
  <si>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</si>
  <si>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</si>
  <si>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</si>
  <si>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</si>
  <si>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</si>
  <si>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</si>
  <si>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</si>
  <si>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</si>
  <si>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</si>
  <si>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</si>
  <si>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</si>
  <si>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</si>
  <si>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</si>
  <si>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</si>
  <si>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</si>
  <si>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</si>
  <si>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</si>
  <si>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</si>
  <si>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</si>
  <si>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</si>
  <si>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</si>
  <si>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</si>
  <si>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</si>
  <si>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</si>
  <si>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</si>
  <si>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</si>
  <si>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</si>
  <si>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</si>
  <si>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</si>
  <si>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</si>
  <si>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</si>
  <si>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</si>
  <si>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</si>
  <si>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</si>
  <si>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</si>
  <si>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</si>
  <si>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</si>
  <si>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</si>
  <si>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</si>
  <si>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</si>
  <si>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</si>
  <si>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</si>
  <si>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</si>
  <si>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</si>
  <si>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</si>
  <si>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</si>
  <si>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</si>
  <si>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</si>
  <si>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</si>
  <si>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</si>
  <si>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</si>
  <si>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</si>
  <si>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</si>
  <si>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</si>
  <si>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</si>
  <si>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</si>
  <si>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</si>
  <si>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</si>
  <si>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</si>
  <si>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</si>
  <si>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</si>
  <si>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</si>
  <si>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</si>
  <si>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</si>
  <si>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</si>
  <si>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</si>
  <si>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</si>
  <si>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</si>
  <si>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</si>
  <si>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</si>
  <si>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</si>
  <si>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</si>
  <si>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</si>
  <si>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</si>
  <si>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</si>
  <si>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</si>
  <si>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</si>
  <si>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</si>
  <si>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</si>
  <si>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</si>
  <si>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</si>
  <si>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</si>
  <si>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</si>
  <si>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</si>
  <si>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</si>
  <si>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</si>
  <si>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</si>
  <si>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</si>
  <si>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</si>
  <si>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</si>
  <si>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</si>
  <si>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</si>
  <si>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</si>
  <si>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</si>
  <si>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</si>
  <si>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</si>
  <si>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</si>
  <si>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</si>
  <si>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</si>
  <si>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</si>
  <si>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</si>
  <si>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</si>
  <si>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</si>
  <si>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</si>
  <si>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</si>
  <si>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</si>
  <si>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</si>
  <si>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</si>
  <si>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</si>
  <si>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</si>
  <si>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</si>
  <si>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</si>
  <si>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</si>
  <si>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</si>
  <si>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</si>
  <si>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</si>
  <si>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</si>
  <si>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</si>
  <si>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</si>
  <si>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</si>
  <si>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</si>
  <si>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</si>
  <si>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</si>
  <si>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</si>
  <si>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</si>
  <si>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</si>
  <si>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</si>
  <si>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</si>
  <si>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</si>
  <si>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</si>
  <si>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</si>
  <si>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</si>
  <si>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</si>
  <si>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</si>
  <si>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</si>
  <si>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</si>
  <si>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</si>
  <si>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</si>
  <si>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</si>
  <si>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</si>
  <si>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</si>
  <si>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</si>
  <si>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</si>
  <si>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</si>
  <si>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</si>
  <si>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</si>
  <si>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</si>
  <si>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</si>
  <si>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</si>
  <si>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</si>
  <si>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</si>
  <si>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</si>
  <si>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</si>
  <si>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</si>
  <si>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</si>
  <si>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</si>
  <si>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</si>
  <si>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</si>
  <si>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</si>
  <si>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</si>
  <si>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</si>
  <si>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</si>
  <si>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</si>
  <si>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</si>
  <si>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</si>
  <si>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</si>
  <si>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</si>
  <si>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</si>
  <si>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</si>
  <si>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</si>
  <si>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</si>
  <si>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</si>
  <si>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</si>
  <si>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</si>
  <si>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</si>
  <si>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</si>
  <si>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</si>
  <si>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</si>
  <si>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</si>
  <si>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</si>
  <si>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</si>
  <si>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</si>
  <si>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</si>
  <si>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</si>
  <si>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</si>
  <si>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</si>
  <si>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</si>
  <si>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</si>
  <si>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</si>
  <si>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</si>
  <si>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</si>
  <si>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</si>
  <si>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</si>
  <si>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</si>
  <si>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</si>
  <si>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</si>
  <si>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</si>
  <si>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</si>
  <si>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</si>
  <si>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</si>
  <si>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</si>
  <si>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</si>
  <si>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</si>
  <si>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</si>
  <si>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</si>
  <si>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</si>
  <si>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</si>
  <si>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</si>
  <si>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</si>
  <si>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</si>
  <si>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</si>
  <si>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</si>
  <si>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</si>
  <si>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</si>
  <si>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</si>
  <si>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</si>
  <si>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</si>
  <si>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</si>
  <si>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</si>
  <si>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</si>
  <si>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</si>
  <si>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</si>
  <si>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</si>
  <si>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</si>
  <si>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</si>
  <si>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</si>
  <si>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</si>
  <si>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</si>
  <si>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</si>
  <si>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</si>
  <si>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</si>
  <si>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</si>
  <si>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</si>
  <si>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</si>
  <si>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</si>
  <si>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</si>
  <si>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</si>
  <si>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</si>
  <si>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</si>
  <si>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</si>
  <si>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</si>
  <si>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</si>
  <si>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</si>
  <si>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</si>
  <si>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</si>
  <si>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</si>
  <si>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</si>
  <si>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</si>
  <si>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</si>
  <si>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</si>
  <si>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</si>
  <si>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</si>
  <si>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</si>
  <si>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</si>
  <si>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</si>
  <si>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</si>
  <si>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</si>
  <si>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</si>
  <si>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</si>
  <si>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</si>
  <si>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</si>
  <si>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</si>
  <si>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</si>
  <si>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</si>
  <si>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</si>
  <si>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</si>
  <si>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</si>
  <si>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</si>
  <si>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</si>
  <si>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</si>
  <si>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</si>
  <si>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</si>
  <si>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</si>
  <si>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</si>
  <si>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</si>
  <si>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</si>
  <si>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</si>
  <si>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</si>
  <si>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</si>
  <si>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</si>
  <si>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</si>
  <si>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</si>
  <si>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</si>
  <si>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</si>
  <si>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</si>
  <si>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</si>
  <si>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</si>
  <si>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</si>
  <si>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</si>
  <si>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</si>
  <si>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</si>
  <si>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</si>
  <si>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</si>
  <si>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</si>
  <si>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</si>
  <si>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</si>
  <si>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</si>
  <si>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</si>
  <si>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</si>
  <si>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</si>
  <si>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</si>
  <si>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</si>
  <si>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</si>
  <si>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</si>
  <si>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</si>
  <si>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</si>
  <si>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</si>
  <si>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</si>
  <si>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</si>
  <si>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</si>
  <si>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</si>
  <si>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</si>
  <si>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</si>
  <si>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</si>
  <si>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</si>
  <si>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</si>
  <si>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</si>
  <si>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</si>
  <si>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</si>
  <si>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</si>
  <si>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</si>
  <si>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</si>
  <si>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</si>
  <si>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</si>
  <si>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</si>
  <si>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</si>
  <si>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</si>
  <si>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</si>
  <si>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</si>
  <si>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</si>
  <si>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</si>
  <si>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</si>
  <si>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</si>
  <si>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</si>
  <si>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</si>
  <si>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</si>
  <si>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</si>
  <si>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</si>
  <si>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</si>
  <si>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</si>
  <si>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</si>
  <si>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</si>
  <si>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</si>
  <si>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</si>
  <si>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</si>
  <si>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</si>
  <si>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</si>
  <si>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</si>
  <si>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</si>
  <si>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</si>
  <si>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</si>
  <si>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</si>
  <si>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</si>
  <si>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</si>
  <si>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</si>
  <si>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</si>
  <si>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</si>
  <si>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</si>
  <si>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</si>
  <si>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</si>
  <si>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</si>
  <si>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</si>
  <si>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</si>
  <si>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</si>
  <si>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</si>
  <si>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</si>
  <si>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</si>
  <si>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</si>
  <si>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</si>
  <si>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</si>
  <si>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</si>
  <si>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</si>
  <si>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</si>
  <si>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</si>
  <si>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</si>
  <si>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</si>
  <si>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</si>
  <si>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</si>
  <si>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</si>
  <si>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</si>
  <si>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</si>
  <si>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</si>
  <si>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</si>
  <si>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</si>
  <si>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</si>
  <si>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</si>
  <si>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</si>
  <si>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</si>
  <si>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</si>
  <si>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</si>
  <si>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</si>
  <si>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</si>
  <si>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</si>
  <si>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</si>
  <si>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</si>
  <si>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</si>
  <si>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</si>
  <si>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</si>
  <si>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</si>
  <si>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</si>
  <si>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</si>
  <si>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</si>
  <si>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</si>
  <si>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</si>
  <si>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</si>
  <si>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</si>
  <si>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</si>
  <si>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</si>
  <si>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</si>
  <si>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</si>
  <si>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</si>
  <si>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</si>
  <si>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</si>
  <si>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</si>
  <si>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</si>
  <si>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</si>
  <si>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</si>
  <si>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</si>
  <si>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</si>
  <si>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</si>
  <si>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</si>
  <si>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</si>
  <si>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</si>
  <si>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</si>
  <si>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</si>
  <si>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</si>
  <si>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</si>
  <si>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</si>
  <si>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</si>
  <si>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</si>
  <si>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</si>
  <si>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</si>
  <si>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</si>
  <si>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</si>
  <si>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</si>
  <si>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</si>
  <si>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</si>
  <si>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</si>
  <si>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</si>
  <si>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</si>
  <si>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</si>
  <si>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</si>
  <si>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</si>
  <si>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</si>
  <si>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</si>
  <si>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</si>
  <si>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</si>
  <si>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</si>
  <si>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</si>
  <si>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</si>
  <si>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</si>
  <si>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</si>
  <si>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</si>
  <si>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</si>
  <si>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</si>
  <si>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</si>
  <si>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</si>
  <si>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</si>
  <si>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</si>
  <si>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</si>
  <si>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</si>
  <si>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</si>
  <si>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</si>
  <si>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</si>
  <si>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</si>
  <si>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</si>
  <si>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</si>
  <si>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</si>
  <si>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</si>
  <si>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</si>
  <si>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</si>
  <si>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</si>
  <si>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</si>
  <si>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</si>
  <si>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</si>
  <si>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</si>
  <si>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</si>
  <si>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</si>
  <si>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</si>
  <si>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</si>
  <si>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</si>
  <si>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</si>
  <si>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</si>
  <si>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</si>
  <si>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</si>
  <si>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</si>
  <si>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</si>
  <si>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</si>
  <si>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</si>
  <si>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</si>
  <si>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</si>
  <si>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</si>
  <si>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</si>
  <si>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</si>
  <si>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</si>
  <si>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</si>
  <si>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</si>
  <si>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</si>
  <si>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</si>
  <si>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</si>
  <si>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</si>
  <si>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</si>
  <si>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</si>
  <si>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</si>
  <si>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</si>
  <si>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</si>
  <si>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</si>
  <si>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</si>
  <si>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</si>
  <si>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</si>
  <si>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</si>
  <si>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</si>
  <si>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</si>
  <si>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</si>
  <si>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</si>
  <si>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</si>
  <si>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</si>
  <si>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</si>
  <si>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</si>
  <si>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</si>
  <si>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</si>
  <si>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</si>
  <si>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</si>
  <si>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</si>
  <si>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</si>
  <si>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</si>
  <si>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</si>
  <si>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</si>
  <si>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</si>
  <si>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</si>
  <si>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</si>
  <si>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</si>
  <si>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</si>
  <si>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</si>
  <si>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</si>
  <si>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</si>
  <si>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</si>
  <si>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</si>
  <si>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</si>
  <si>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</si>
  <si>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</si>
  <si>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</si>
  <si>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</si>
  <si>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</si>
  <si>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</si>
  <si>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</si>
  <si>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</si>
  <si>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</si>
  <si>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</si>
  <si>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</si>
  <si>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</si>
  <si>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</si>
  <si>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</si>
  <si>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</si>
  <si>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</si>
  <si>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</si>
  <si>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</si>
  <si>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</si>
  <si>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</si>
  <si>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</si>
  <si>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</si>
  <si>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</si>
  <si>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</si>
  <si>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</si>
  <si>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</si>
  <si>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</si>
  <si>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</si>
  <si>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</si>
  <si>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</si>
  <si>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</si>
  <si>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</si>
  <si>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</si>
  <si>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</si>
  <si>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</si>
  <si>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</si>
  <si>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</si>
  <si>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</si>
  <si>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</si>
  <si>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</si>
  <si>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</si>
  <si>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</si>
  <si>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</si>
  <si>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</si>
  <si>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</si>
  <si>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</si>
  <si>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</si>
  <si>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</si>
  <si>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</si>
  <si>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</si>
  <si>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</si>
  <si>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</si>
  <si>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</si>
  <si>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</si>
  <si>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</si>
  <si>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</si>
  <si>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</si>
  <si>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</si>
  <si>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</si>
  <si>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</si>
  <si>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</si>
  <si>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</si>
  <si>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</si>
  <si>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</si>
  <si>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</si>
  <si>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</si>
  <si>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</si>
  <si>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</si>
  <si>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</si>
  <si>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</si>
  <si>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</si>
  <si>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</si>
  <si>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</si>
  <si>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</si>
  <si>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</si>
  <si>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</si>
  <si>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</si>
  <si>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</si>
  <si>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</si>
  <si>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</si>
  <si>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</si>
  <si>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</si>
  <si>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</si>
  <si>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</si>
  <si>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</si>
  <si>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</si>
  <si>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</si>
  <si>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</si>
  <si>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</si>
  <si>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</si>
  <si>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</si>
  <si>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</si>
  <si>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</si>
  <si>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</si>
  <si>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</si>
  <si>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</si>
  <si>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</si>
  <si>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</si>
  <si>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</si>
  <si>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</si>
  <si>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</si>
  <si>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</si>
  <si>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</si>
  <si>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</si>
  <si>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</si>
  <si>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</si>
  <si>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</si>
  <si>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</si>
  <si>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</si>
  <si>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</si>
  <si>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</si>
  <si>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</si>
  <si>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</si>
  <si>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</si>
  <si>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</si>
  <si>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</si>
  <si>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</si>
  <si>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</si>
  <si>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</si>
  <si>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</si>
  <si>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</si>
  <si>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</si>
  <si>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</si>
  <si>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</si>
  <si>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</si>
  <si>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</si>
  <si>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</si>
  <si>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</si>
  <si>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</si>
  <si>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</si>
  <si>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</si>
  <si>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</si>
  <si>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</si>
  <si>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</si>
  <si>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</si>
  <si>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</si>
  <si>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</si>
  <si>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</si>
  <si>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</si>
  <si>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</si>
  <si>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</si>
  <si>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</si>
  <si>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</si>
  <si>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</si>
  <si>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</si>
  <si>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</si>
  <si>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</si>
  <si>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</si>
  <si>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</si>
  <si>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</si>
  <si>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</si>
  <si>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</si>
  <si>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</si>
  <si>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</si>
  <si>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</si>
  <si>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</si>
  <si>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</si>
  <si>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</si>
  <si>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</si>
  <si>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</si>
  <si>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</si>
  <si>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</si>
  <si>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</si>
  <si>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</si>
  <si>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</si>
  <si>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</si>
  <si>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</si>
  <si>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</si>
  <si>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</si>
  <si>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</si>
  <si>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</si>
  <si>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</si>
  <si>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</si>
  <si>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</si>
  <si>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</si>
  <si>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</si>
  <si>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</si>
  <si>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</si>
  <si>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</si>
  <si>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</si>
  <si>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</si>
  <si>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</si>
  <si>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</si>
  <si>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</si>
  <si>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</si>
  <si>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</si>
  <si>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</si>
  <si>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</si>
  <si>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</si>
  <si>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</si>
  <si>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</si>
  <si>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</si>
  <si>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</si>
  <si>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</si>
  <si>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</si>
  <si>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</si>
  <si>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</si>
  <si>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</si>
  <si>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</si>
  <si>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</si>
  <si>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</si>
  <si>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</si>
  <si>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</si>
  <si>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</si>
  <si>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</si>
  <si>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</si>
  <si>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</si>
  <si>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</si>
  <si>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</si>
  <si>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</si>
  <si>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</si>
  <si>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</si>
  <si>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</si>
  <si>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</si>
  <si>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</si>
  <si>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</si>
  <si>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</si>
  <si>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</si>
  <si>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</si>
  <si>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</si>
  <si>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</si>
  <si>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</si>
  <si>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</si>
  <si>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</si>
  <si>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</si>
  <si>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</si>
  <si>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</si>
  <si>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</si>
  <si>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</si>
  <si>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</si>
  <si>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</si>
  <si>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</si>
  <si>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</si>
  <si>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</si>
  <si>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</si>
  <si>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</si>
  <si>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</si>
  <si>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</si>
  <si>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</si>
  <si>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</si>
  <si>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</si>
  <si>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</si>
  <si>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</si>
  <si>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</si>
  <si>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</si>
  <si>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</si>
  <si>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</si>
  <si>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</si>
  <si>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</si>
  <si>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</si>
  <si>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</si>
  <si>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</si>
  <si>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</si>
  <si>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</si>
  <si>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</si>
  <si>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</si>
  <si>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</si>
  <si>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</si>
  <si>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</si>
  <si>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</si>
  <si>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</si>
  <si>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</si>
  <si>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</si>
  <si>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</si>
  <si>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</si>
  <si>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</si>
  <si>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</si>
  <si>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</si>
  <si>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</si>
  <si>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</si>
  <si>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</si>
  <si>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</si>
  <si>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</si>
  <si>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</si>
  <si>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</si>
  <si>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</si>
  <si>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</si>
  <si>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</si>
  <si>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</si>
  <si>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</si>
  <si>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</si>
  <si>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</si>
  <si>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</si>
  <si>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</si>
  <si>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</si>
  <si>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</si>
  <si>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</si>
  <si>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</si>
  <si>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</si>
  <si>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</si>
  <si>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</si>
  <si>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</si>
  <si>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</si>
  <si>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</si>
  <si>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</si>
  <si>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</si>
  <si>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</si>
  <si>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</si>
  <si>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</si>
  <si>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</si>
  <si>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</si>
  <si>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</si>
  <si>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</si>
  <si>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</si>
  <si>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</si>
  <si>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</si>
  <si>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</si>
  <si>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</si>
  <si>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</si>
  <si>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</si>
  <si>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</si>
  <si>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</si>
  <si>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</si>
  <si>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</si>
  <si>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</si>
  <si>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</si>
  <si>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</si>
  <si>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</si>
  <si>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</si>
  <si>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</si>
  <si>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</si>
  <si>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</si>
  <si>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</si>
  <si>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</si>
  <si>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</si>
  <si>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</si>
  <si>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</si>
  <si>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</si>
  <si>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</si>
  <si>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</si>
  <si>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</si>
  <si>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</si>
  <si>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</si>
  <si>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</si>
  <si>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</si>
  <si>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</si>
  <si>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</si>
  <si>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</si>
  <si>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</si>
  <si>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</si>
  <si>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</si>
  <si>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</si>
  <si>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</si>
  <si>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</si>
  <si>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</si>
  <si>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</si>
  <si>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</si>
  <si>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</si>
  <si>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</si>
  <si>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</si>
  <si>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</si>
  <si>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</si>
  <si>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</si>
  <si>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</si>
  <si>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</si>
  <si>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</si>
  <si>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</si>
  <si>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</si>
  <si>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</si>
  <si>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</si>
  <si>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</si>
  <si>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</si>
  <si>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</si>
  <si>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</si>
  <si>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</si>
  <si>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</si>
  <si>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</si>
  <si>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</si>
  <si>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</si>
  <si>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</si>
  <si>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</si>
  <si>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</si>
  <si>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</si>
  <si>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</si>
  <si>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</si>
  <si>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</si>
  <si>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</si>
  <si>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</si>
  <si>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</si>
  <si>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</si>
  <si>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</si>
  <si>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</si>
  <si>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</si>
  <si>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</si>
  <si>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</si>
  <si>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</si>
  <si>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</si>
  <si>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</si>
  <si>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</si>
  <si>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</si>
  <si>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</si>
  <si>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</si>
  <si>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</si>
  <si>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</si>
  <si>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</si>
  <si>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</si>
  <si>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</si>
  <si>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</si>
  <si>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</si>
  <si>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</si>
  <si>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</si>
  <si>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</si>
  <si>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</si>
  <si>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</si>
  <si>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</si>
  <si>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</si>
  <si>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</si>
  <si>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</si>
  <si>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</si>
  <si>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</si>
  <si>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</si>
  <si>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</si>
  <si>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</si>
  <si>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</si>
  <si>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</si>
  <si>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</si>
  <si>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</si>
  <si>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</si>
  <si>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</si>
  <si>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</si>
  <si>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</si>
  <si>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</si>
  <si>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</si>
  <si>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</si>
  <si>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</si>
  <si>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</si>
  <si>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</si>
  <si>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</si>
  <si>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</si>
  <si>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</si>
  <si>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</si>
  <si>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</si>
  <si>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</si>
  <si>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</si>
  <si>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</si>
  <si>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</si>
  <si>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</si>
  <si>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</si>
  <si>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</si>
  <si>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</si>
  <si>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</si>
  <si>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</si>
  <si>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</si>
  <si>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</si>
  <si>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</si>
  <si>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</si>
  <si>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</si>
  <si>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</si>
  <si>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</si>
  <si>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</si>
  <si>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</si>
  <si>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</si>
  <si>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</si>
  <si>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</si>
  <si>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</si>
  <si>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</si>
  <si>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</si>
  <si>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</si>
  <si>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</si>
  <si>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</si>
  <si>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</si>
  <si>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</si>
  <si>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</si>
  <si>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</si>
  <si>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</si>
  <si>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</si>
  <si>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</si>
  <si>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</si>
  <si>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</si>
  <si>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</si>
  <si>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</si>
  <si>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</si>
  <si>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</si>
  <si>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</si>
  <si>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</si>
  <si>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</si>
  <si>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</si>
  <si>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</si>
  <si>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</si>
  <si>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</si>
  <si>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</si>
  <si>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</si>
  <si>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</si>
  <si>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</si>
  <si>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</si>
  <si>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</si>
  <si>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</si>
  <si>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</si>
  <si>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</si>
  <si>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</si>
  <si>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</si>
  <si>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</si>
  <si>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</si>
  <si>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</si>
  <si>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</si>
  <si>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</si>
  <si>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</si>
  <si>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</si>
  <si>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</si>
  <si>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</si>
  <si>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</si>
  <si>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</si>
  <si>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</si>
  <si>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</si>
  <si>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</si>
  <si>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</si>
  <si>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</si>
  <si>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</si>
  <si>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</si>
  <si>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</si>
  <si>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</si>
  <si>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</si>
  <si>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</si>
  <si>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</si>
  <si>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</si>
  <si>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</si>
  <si>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</si>
  <si>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</si>
  <si>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</si>
  <si>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</si>
  <si>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</si>
  <si>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</si>
  <si>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</si>
  <si>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</si>
  <si>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</si>
  <si>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</si>
  <si>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</si>
  <si>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</si>
  <si>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</si>
  <si>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</si>
  <si>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</si>
  <si>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</si>
  <si>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</si>
  <si>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</si>
  <si>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</si>
  <si>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</si>
  <si>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</si>
  <si>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</si>
  <si>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</si>
  <si>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</si>
  <si>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</si>
  <si>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</si>
  <si>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</si>
  <si>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</si>
  <si>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</si>
  <si>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</si>
  <si>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</si>
  <si>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</si>
  <si>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</si>
  <si>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</si>
  <si>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</si>
  <si>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</si>
  <si>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</si>
  <si>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</si>
  <si>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</si>
  <si>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</si>
  <si>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</si>
  <si>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</si>
  <si>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</si>
  <si>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</si>
  <si>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</si>
  <si>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</si>
  <si>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</si>
  <si>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</si>
  <si>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</si>
  <si>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</si>
  <si>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</si>
  <si>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</si>
  <si>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</si>
  <si>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</si>
  <si>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</si>
  <si>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</si>
  <si>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</si>
  <si>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</si>
  <si>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</si>
  <si>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</si>
  <si>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</si>
  <si>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</si>
  <si>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</si>
  <si>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</si>
  <si>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</si>
  <si>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</si>
  <si>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</si>
  <si>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</si>
  <si>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</si>
  <si>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</si>
  <si>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</si>
  <si>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</si>
  <si>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</si>
  <si>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</si>
  <si>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</si>
  <si>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</si>
  <si>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</si>
  <si>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</si>
  <si>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</si>
  <si>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</si>
  <si>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</si>
  <si>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</si>
  <si>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</si>
  <si>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</si>
  <si>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</si>
  <si>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</si>
  <si>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</si>
  <si>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</si>
  <si>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</si>
  <si>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</si>
  <si>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</si>
  <si>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</si>
  <si>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</si>
  <si>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</si>
  <si>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</si>
  <si>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</si>
  <si>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</si>
  <si>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</si>
  <si>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</si>
  <si>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</si>
  <si>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</si>
  <si>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</si>
  <si>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</si>
  <si>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</si>
  <si>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</si>
  <si>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</si>
  <si>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</si>
  <si>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</si>
  <si>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</si>
  <si>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</si>
  <si>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</si>
  <si>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</si>
  <si>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</si>
  <si>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</si>
  <si>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</si>
  <si>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</si>
  <si>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</si>
  <si>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</si>
  <si>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</si>
  <si>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</si>
  <si>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</si>
  <si>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</si>
  <si>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</si>
  <si>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</si>
  <si>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</si>
  <si>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</si>
  <si>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</si>
  <si>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</si>
  <si>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</si>
  <si>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</si>
  <si>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</si>
  <si>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</si>
  <si>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</si>
  <si>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</si>
  <si>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</si>
  <si>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</si>
  <si>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</si>
  <si>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</si>
  <si>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</si>
  <si>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</si>
  <si>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</si>
  <si>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</si>
  <si>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</si>
  <si>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</si>
  <si>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</si>
  <si>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</si>
  <si>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</si>
  <si>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</si>
  <si>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</si>
  <si>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</si>
  <si>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</si>
  <si>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</si>
  <si>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</si>
  <si>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</si>
  <si>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</si>
  <si>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</si>
  <si>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</si>
  <si>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</si>
  <si>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</si>
  <si>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</si>
  <si>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</si>
  <si>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</si>
  <si>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</si>
  <si>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</si>
  <si>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</si>
  <si>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</si>
  <si>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</si>
  <si>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</si>
  <si>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</si>
  <si>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</si>
  <si>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</si>
  <si>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</si>
  <si>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</si>
  <si>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</si>
  <si>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</si>
  <si>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</si>
  <si>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</si>
  <si>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</si>
  <si>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</si>
  <si>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</si>
  <si>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</si>
  <si>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</si>
  <si>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</si>
  <si>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</si>
  <si>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</si>
  <si>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</si>
  <si>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</si>
  <si>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</si>
  <si>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</si>
  <si>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</si>
  <si>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</si>
  <si>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</si>
  <si>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</si>
  <si>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</si>
  <si>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</si>
  <si>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</si>
  <si>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</si>
  <si>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</si>
  <si>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</si>
  <si>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</si>
  <si>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</si>
  <si>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</si>
  <si>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</si>
  <si>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</si>
  <si>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</si>
  <si>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</si>
  <si>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</si>
  <si>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</si>
  <si>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</si>
  <si>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</si>
  <si>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</si>
  <si>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</si>
  <si>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</si>
  <si>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</si>
  <si>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</si>
  <si>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</si>
  <si>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</si>
  <si>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</si>
  <si>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</si>
  <si>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</si>
  <si>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</si>
  <si>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</si>
  <si>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</si>
  <si>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</si>
  <si>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</si>
  <si>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</si>
  <si>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</si>
  <si>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</si>
  <si>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</si>
  <si>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</si>
  <si>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</si>
  <si>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</si>
  <si>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</si>
  <si>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</si>
  <si>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</si>
  <si>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</si>
  <si>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</si>
  <si>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</si>
  <si>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</si>
  <si>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</si>
  <si>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</si>
  <si>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</si>
  <si>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</si>
  <si>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</si>
  <si>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</si>
  <si>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</si>
  <si>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</si>
  <si>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</si>
  <si>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</si>
  <si>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</si>
  <si>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</si>
  <si>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</si>
  <si>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</si>
  <si>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</si>
  <si>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</si>
  <si>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</si>
  <si>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</si>
  <si>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</si>
  <si>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</si>
  <si>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</si>
  <si>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</si>
  <si>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</si>
  <si>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</si>
  <si>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</si>
  <si>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</si>
  <si>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</si>
  <si>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</si>
  <si>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</si>
  <si>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</si>
  <si>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</si>
  <si>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</si>
  <si>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</si>
  <si>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</si>
  <si>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</si>
  <si>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</si>
  <si>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</si>
  <si>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</si>
  <si>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</si>
  <si>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</si>
  <si>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</si>
  <si>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</si>
  <si>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</si>
  <si>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</si>
  <si>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</si>
  <si>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</si>
  <si>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</si>
  <si>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</si>
  <si>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</si>
  <si>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</si>
  <si>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</si>
  <si>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</si>
  <si>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</si>
  <si>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</si>
  <si>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</si>
  <si>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</si>
  <si>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</si>
  <si>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</si>
  <si>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</si>
  <si>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</si>
  <si>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</si>
  <si>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</si>
  <si>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</si>
  <si>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</si>
  <si>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</si>
  <si>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</si>
  <si>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</si>
  <si>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</si>
  <si>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</si>
  <si>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</si>
  <si>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</si>
  <si>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</si>
  <si>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</si>
  <si>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</si>
  <si>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</si>
  <si>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</si>
  <si>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</si>
  <si>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</si>
  <si>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</si>
  <si>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</si>
  <si>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</si>
  <si>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</si>
  <si>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</si>
  <si>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</si>
  <si>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</si>
  <si>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</si>
  <si>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</si>
  <si>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</si>
  <si>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</si>
  <si>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</si>
  <si>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</si>
  <si>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</si>
  <si>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</si>
  <si>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</si>
  <si>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</si>
  <si>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</si>
  <si>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</si>
  <si>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</si>
  <si>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</si>
  <si>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</si>
  <si>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</si>
  <si>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</si>
  <si>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</si>
  <si>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</si>
  <si>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</si>
  <si>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</si>
  <si>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</si>
  <si>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</si>
  <si>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</si>
  <si>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</si>
  <si>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</si>
  <si>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</si>
  <si>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</si>
  <si>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</si>
  <si>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</si>
  <si>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</si>
  <si>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</si>
  <si>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</si>
  <si>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</si>
  <si>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</si>
  <si>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</si>
  <si>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</si>
  <si>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</si>
  <si>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</si>
  <si>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</si>
  <si>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</si>
  <si>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</si>
  <si>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</si>
  <si>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</si>
  <si>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</si>
  <si>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</si>
  <si>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</si>
  <si>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</si>
  <si>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</si>
  <si>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</si>
  <si>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</si>
  <si>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</si>
  <si>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</si>
  <si>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</si>
  <si>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</si>
  <si>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</si>
  <si>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</si>
  <si>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</si>
  <si>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</si>
  <si>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</si>
  <si>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</si>
  <si>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</si>
  <si>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</si>
  <si>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</si>
  <si>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</si>
  <si>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</si>
  <si>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</si>
  <si>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</si>
  <si>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</si>
  <si>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</si>
  <si>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</si>
  <si>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</si>
  <si>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</si>
  <si>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</si>
  <si>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</si>
  <si>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</si>
  <si>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</si>
  <si>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</si>
  <si>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</si>
  <si>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</si>
  <si>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</si>
  <si>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</si>
  <si>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</si>
  <si>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</si>
  <si>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</si>
  <si>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</si>
  <si>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</si>
  <si>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</si>
  <si>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</si>
  <si>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</si>
  <si>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</si>
  <si>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</si>
  <si>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</si>
  <si>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</si>
  <si>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</si>
  <si>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</si>
  <si>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</si>
  <si>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</si>
  <si>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</si>
  <si>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</si>
  <si>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</si>
  <si>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</si>
  <si>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</si>
  <si>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</si>
  <si>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</si>
  <si>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</si>
  <si>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</si>
  <si>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</si>
  <si>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</si>
  <si>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</si>
  <si>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</si>
  <si>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</si>
  <si>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</si>
  <si>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</si>
  <si>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</si>
  <si>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</si>
  <si>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</si>
  <si>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</si>
  <si>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</si>
  <si>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</si>
  <si>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</si>
  <si>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</si>
  <si>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</si>
  <si>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</si>
  <si>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</si>
  <si>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</si>
  <si>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</si>
  <si>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</si>
  <si>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</si>
  <si>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</si>
  <si>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</si>
  <si>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</si>
  <si>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</si>
  <si>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</si>
  <si>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</si>
  <si>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</si>
  <si>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</si>
  <si>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</si>
  <si>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</si>
  <si>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</si>
  <si>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</si>
  <si>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</si>
  <si>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</si>
  <si>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</si>
  <si>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</si>
  <si>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</si>
  <si>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</si>
  <si>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</si>
  <si>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</si>
  <si>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</si>
  <si>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</si>
  <si>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</si>
  <si>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</si>
  <si>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</si>
  <si>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</si>
  <si>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</si>
  <si>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</si>
  <si>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</si>
  <si>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</si>
  <si>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</si>
  <si>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</si>
  <si>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</si>
  <si>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</si>
  <si>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</si>
  <si>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</si>
  <si>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</si>
  <si>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</si>
  <si>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</si>
  <si>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</si>
  <si>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</si>
  <si>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</si>
  <si>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</si>
  <si>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</si>
  <si>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</si>
  <si>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</si>
  <si>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</si>
  <si>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</si>
  <si>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</si>
  <si>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</si>
  <si>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</si>
  <si>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</si>
  <si>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</si>
  <si>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</si>
  <si>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</si>
  <si>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</si>
  <si>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</si>
  <si>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</si>
  <si>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</si>
  <si>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</si>
  <si>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</si>
  <si>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</si>
  <si>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</si>
  <si>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</si>
  <si>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</si>
  <si>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</si>
  <si>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</si>
  <si>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</si>
  <si>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</si>
  <si>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</si>
  <si>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</si>
  <si>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</si>
  <si>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</si>
  <si>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</si>
  <si>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</si>
  <si>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</si>
  <si>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</si>
  <si>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</si>
  <si>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</si>
  <si>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</si>
  <si>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</si>
  <si>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</si>
  <si>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</si>
  <si>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</si>
  <si>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</si>
  <si>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</si>
  <si>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</si>
  <si>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</si>
  <si>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</si>
  <si>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</si>
  <si>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</si>
  <si>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</si>
  <si>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</si>
  <si>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</si>
  <si>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</si>
  <si>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</si>
  <si>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</si>
  <si>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</si>
  <si>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</si>
  <si>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</si>
  <si>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</si>
  <si>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</si>
  <si>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</si>
  <si>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</si>
  <si>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</si>
  <si>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</si>
  <si>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</si>
  <si>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</si>
  <si>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</si>
  <si>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</si>
  <si>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</si>
  <si>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</si>
  <si>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</si>
  <si>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</si>
  <si>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</si>
  <si>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</si>
  <si>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</si>
  <si>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</si>
  <si>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</si>
  <si>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</si>
  <si>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</si>
  <si>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</si>
  <si>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</si>
  <si>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</si>
  <si>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</si>
  <si>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</si>
  <si>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</si>
  <si>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</si>
  <si>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</si>
  <si>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</si>
  <si>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</si>
  <si>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</si>
  <si>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</si>
  <si>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</si>
  <si>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</si>
  <si>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</si>
  <si>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</si>
  <si>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</si>
  <si>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</si>
  <si>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</si>
  <si>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</si>
  <si>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</si>
  <si>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</si>
  <si>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</si>
  <si>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</si>
  <si>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</si>
  <si>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</si>
  <si>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</si>
  <si>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</si>
  <si>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</si>
  <si>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</si>
  <si>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</si>
  <si>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</si>
  <si>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</si>
  <si>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</si>
  <si>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</si>
  <si>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</si>
  <si>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</si>
  <si>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</si>
  <si>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</si>
  <si>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</si>
  <si>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</si>
  <si>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</si>
  <si>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</si>
  <si>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</si>
  <si>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</si>
  <si>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</si>
  <si>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</si>
  <si>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</si>
  <si>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</si>
  <si>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</si>
  <si>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</si>
  <si>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</si>
  <si>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</si>
  <si>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</si>
  <si>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</si>
  <si>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</si>
  <si>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</si>
  <si>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</si>
  <si>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</si>
  <si>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</si>
  <si>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</si>
  <si>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</si>
  <si>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</si>
  <si>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</si>
  <si>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</si>
  <si>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</si>
  <si>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</si>
  <si>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</si>
  <si>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</si>
  <si>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</si>
  <si>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</si>
  <si>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</si>
  <si>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</si>
  <si>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</si>
  <si>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</si>
  <si>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</si>
  <si>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</si>
  <si>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</si>
  <si>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</si>
  <si>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</si>
  <si>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</si>
  <si>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</si>
  <si>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</si>
  <si>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</si>
  <si>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</si>
  <si>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</si>
  <si>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</si>
  <si>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</si>
  <si>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</si>
  <si>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</si>
  <si>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</si>
  <si>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</si>
  <si>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</si>
  <si>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</si>
  <si>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</si>
  <si>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</si>
  <si>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</si>
  <si>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</si>
  <si>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</si>
  <si>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</si>
  <si>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</si>
  <si>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</si>
  <si>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</si>
  <si>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</si>
  <si>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</si>
  <si>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</si>
  <si>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</si>
  <si>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</si>
  <si>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</si>
  <si>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</si>
  <si>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</si>
  <si>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</si>
  <si>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</si>
  <si>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</si>
  <si>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</si>
  <si>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</si>
  <si>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</si>
  <si>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</si>
  <si>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</si>
  <si>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</si>
  <si>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</si>
  <si>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</si>
  <si>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</si>
  <si>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</si>
  <si>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</si>
  <si>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</si>
  <si>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</si>
  <si>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</si>
  <si>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</si>
  <si>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</si>
  <si>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</si>
  <si>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</si>
  <si>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</si>
  <si>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</si>
  <si>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</si>
  <si>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</si>
  <si>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</si>
  <si>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</si>
  <si>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</si>
  <si>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</si>
  <si>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</si>
  <si>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</si>
  <si>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</si>
  <si>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</si>
  <si>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</si>
  <si>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</si>
  <si>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</si>
  <si>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</si>
  <si>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</si>
  <si>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</si>
  <si>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</si>
  <si>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</si>
  <si>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</si>
  <si>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</si>
  <si>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</si>
  <si>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</si>
  <si>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</si>
  <si>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</si>
  <si>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</si>
  <si>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</si>
  <si>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</si>
  <si>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</si>
  <si>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</si>
  <si>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</si>
  <si>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</si>
  <si>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</si>
  <si>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</si>
  <si>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</si>
  <si>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</si>
  <si>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</si>
  <si>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</si>
  <si>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</si>
  <si>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</si>
  <si>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</si>
  <si>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</si>
  <si>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</si>
  <si>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</si>
  <si>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</si>
  <si>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</si>
  <si>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</si>
  <si>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</si>
  <si>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</si>
  <si>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</si>
  <si>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</si>
  <si>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</si>
  <si>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</si>
  <si>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</si>
  <si>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</si>
  <si>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</si>
  <si>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</si>
  <si>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</si>
  <si>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</si>
  <si>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</si>
  <si>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</si>
  <si>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</si>
  <si>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</si>
  <si>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</si>
  <si>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</si>
  <si>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</si>
  <si>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</si>
  <si>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</si>
  <si>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</si>
  <si>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</si>
  <si>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</si>
  <si>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</si>
  <si>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</si>
  <si>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</si>
  <si>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</si>
  <si>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</si>
  <si>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</si>
  <si>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</si>
  <si>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</si>
  <si>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</si>
  <si>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</si>
  <si>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</si>
  <si>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</si>
  <si>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</si>
  <si>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</si>
  <si>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</si>
  <si>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</si>
  <si>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</si>
  <si>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</si>
  <si>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</si>
  <si>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</si>
  <si>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</si>
  <si>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</si>
  <si>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</si>
  <si>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</si>
  <si>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</si>
  <si>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</si>
  <si>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</si>
  <si>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</si>
  <si>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</si>
  <si>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</si>
  <si>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</si>
  <si>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</si>
  <si>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</si>
  <si>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</si>
  <si>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</si>
  <si>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</si>
  <si>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</si>
  <si>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</si>
  <si>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</si>
  <si>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</si>
  <si>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</si>
  <si>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</si>
  <si>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</si>
  <si>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</si>
  <si>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</si>
  <si>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</si>
  <si>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</si>
  <si>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</si>
  <si>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</si>
  <si>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</si>
  <si>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</si>
  <si>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</si>
  <si>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</si>
  <si>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</si>
  <si>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</si>
  <si>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</si>
  <si>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</si>
  <si>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</si>
  <si>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</si>
  <si>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</si>
  <si>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</si>
  <si>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</si>
  <si>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</si>
  <si>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</si>
  <si>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</si>
  <si>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</si>
  <si>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</si>
  <si>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</si>
  <si>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</si>
  <si>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</si>
  <si>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</si>
  <si>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</si>
  <si>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</si>
  <si>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</si>
  <si>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</si>
  <si>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</si>
  <si>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</si>
  <si>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</si>
  <si>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</si>
  <si>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</si>
  <si>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</si>
  <si>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</si>
  <si>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</si>
  <si>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</si>
  <si>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</si>
  <si>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</si>
  <si>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</si>
  <si>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</si>
  <si>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</si>
  <si>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</si>
  <si>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</si>
  <si>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</si>
  <si>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</si>
  <si>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</si>
  <si>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</si>
  <si>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</si>
  <si>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</si>
  <si>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</si>
  <si>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</si>
  <si>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</si>
  <si>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</si>
  <si>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</si>
  <si>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</si>
  <si>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</si>
  <si>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</si>
  <si>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</si>
  <si>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</si>
  <si>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</si>
  <si>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</si>
  <si>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</si>
  <si>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</si>
  <si>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</si>
  <si>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</si>
  <si>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</si>
  <si>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</si>
  <si>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</si>
  <si>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</si>
  <si>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</si>
  <si>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</si>
  <si>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</si>
  <si>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</si>
  <si>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</si>
  <si>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</si>
  <si>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</si>
  <si>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</si>
  <si>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</si>
  <si>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</si>
  <si>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</si>
  <si>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</si>
  <si>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</si>
  <si>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</si>
  <si>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</si>
  <si>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</si>
  <si>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</si>
  <si>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</si>
  <si>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</si>
  <si>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</si>
  <si>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</si>
  <si>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</si>
  <si>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</si>
  <si>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</si>
  <si>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</si>
  <si>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</si>
  <si>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</si>
  <si>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</si>
  <si>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</si>
  <si>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</si>
  <si>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</si>
  <si>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</si>
  <si>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</si>
  <si>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</si>
  <si>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</si>
  <si>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</si>
  <si>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</si>
  <si>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</si>
  <si>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</si>
  <si>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</si>
  <si>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</si>
  <si>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</si>
  <si>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</si>
  <si>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</si>
  <si>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</si>
  <si>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</si>
  <si>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</si>
  <si>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</si>
  <si>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</si>
  <si>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</si>
  <si>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</si>
  <si>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</si>
  <si>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</si>
  <si>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</si>
  <si>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</si>
  <si>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</si>
  <si>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</si>
  <si>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</si>
  <si>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</si>
  <si>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</si>
  <si>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</si>
  <si>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</si>
  <si>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</si>
  <si>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</si>
  <si>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</si>
  <si>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</si>
  <si>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</si>
  <si>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</si>
  <si>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</si>
  <si>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</si>
  <si>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</si>
  <si>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</si>
  <si>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</si>
  <si>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</si>
  <si>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</si>
  <si>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</si>
  <si>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</si>
  <si>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</si>
  <si>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</si>
  <si>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</si>
  <si>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</si>
  <si>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</si>
  <si>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</si>
  <si>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</si>
  <si>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</si>
  <si>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</si>
  <si>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</si>
  <si>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</si>
  <si>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</si>
  <si>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</si>
  <si>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</si>
  <si>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</si>
  <si>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</si>
  <si>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</si>
  <si>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</si>
  <si>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</si>
  <si>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</si>
  <si>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</si>
  <si>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</si>
  <si>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</si>
  <si>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</si>
  <si>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</si>
  <si>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</si>
  <si>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</si>
  <si>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</si>
  <si>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</si>
  <si>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</si>
  <si>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</si>
  <si>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</si>
  <si>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</si>
  <si>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</si>
  <si>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</si>
  <si>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</si>
  <si>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</si>
  <si>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</si>
  <si>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</si>
  <si>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</si>
  <si>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</si>
  <si>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</si>
  <si>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</si>
  <si>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</si>
  <si>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</si>
  <si>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</si>
  <si>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</si>
  <si>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</si>
  <si>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</si>
  <si>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</si>
  <si>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</si>
  <si>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</si>
  <si>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</si>
  <si>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</si>
  <si>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</si>
  <si>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</si>
  <si>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</si>
  <si>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</si>
  <si>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</si>
  <si>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</si>
  <si>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</si>
  <si>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</si>
  <si>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</si>
  <si>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</si>
  <si>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</si>
  <si>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</si>
  <si>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</si>
  <si>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</si>
  <si>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</si>
  <si>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</si>
  <si>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</si>
  <si>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</si>
  <si>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</si>
  <si>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</si>
  <si>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</si>
  <si>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</si>
  <si>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</si>
  <si>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</si>
  <si>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</si>
  <si>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</si>
  <si>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</si>
  <si>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</si>
  <si>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</si>
  <si>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</si>
  <si>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</si>
  <si>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</si>
  <si>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</si>
  <si>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</si>
  <si>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</si>
  <si>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</si>
  <si>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</si>
  <si>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</si>
  <si>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</si>
  <si>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</si>
  <si>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</si>
  <si>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</si>
  <si>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</si>
  <si>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</si>
  <si>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</si>
  <si>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</si>
  <si>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</si>
  <si>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</si>
  <si>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</si>
  <si>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</si>
  <si>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</si>
  <si>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</si>
  <si>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</si>
  <si>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</si>
  <si>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</si>
  <si>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</si>
  <si>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</si>
  <si>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</si>
  <si>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</si>
  <si>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</si>
  <si>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</si>
  <si>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</si>
  <si>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</si>
  <si>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</si>
  <si>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</si>
  <si>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</si>
  <si>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</si>
  <si>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</si>
  <si>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</si>
  <si>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</si>
  <si>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</si>
  <si>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</si>
  <si>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</si>
  <si>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</si>
  <si>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</si>
  <si>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</si>
  <si>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</si>
  <si>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</si>
  <si>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</si>
  <si>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</si>
  <si>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</si>
  <si>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</si>
  <si>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</si>
  <si>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</si>
  <si>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</si>
  <si>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</si>
  <si>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</si>
  <si>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</si>
  <si>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</si>
  <si>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</si>
  <si>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</si>
  <si>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</si>
  <si>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</si>
  <si>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</si>
  <si>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</si>
  <si>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</si>
  <si>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</si>
  <si>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</si>
  <si>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</si>
  <si>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</si>
  <si>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</si>
  <si>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</si>
  <si>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</si>
  <si>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</si>
  <si>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</si>
  <si>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</si>
  <si>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</si>
  <si>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</si>
  <si>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</si>
  <si>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</si>
  <si>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</si>
  <si>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</si>
  <si>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</si>
  <si>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</si>
  <si>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</si>
  <si>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</si>
  <si>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</si>
  <si>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</si>
  <si>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</si>
  <si>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</si>
  <si>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</si>
  <si>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</si>
  <si>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</si>
  <si>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</si>
  <si>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</si>
  <si>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</si>
  <si>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</si>
  <si>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</si>
  <si>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</si>
  <si>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</si>
  <si>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</si>
  <si>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</si>
  <si>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</si>
  <si>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</si>
  <si>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</si>
  <si>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</si>
  <si>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</si>
  <si>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</si>
  <si>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</si>
  <si>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</si>
  <si>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</si>
  <si>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</si>
  <si>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</si>
  <si>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</si>
  <si>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</si>
  <si>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</si>
  <si>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</si>
  <si>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</si>
  <si>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</si>
  <si>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</si>
  <si>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</si>
  <si>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</si>
  <si>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</si>
  <si>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</si>
  <si>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</si>
  <si>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</si>
  <si>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</si>
  <si>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</si>
  <si>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</si>
  <si>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</si>
  <si>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</si>
  <si>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</si>
  <si>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</si>
  <si>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</si>
  <si>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</si>
  <si>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</si>
  <si>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</si>
  <si>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</si>
  <si>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</si>
  <si>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</si>
  <si>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</si>
  <si>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</si>
  <si>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</si>
  <si>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</si>
  <si>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</si>
  <si>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</si>
  <si>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</si>
  <si>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</si>
  <si>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</si>
  <si>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</si>
  <si>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</si>
  <si>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</si>
  <si>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</si>
  <si>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</si>
  <si>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</si>
  <si>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</si>
  <si>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</si>
  <si>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</si>
  <si>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</si>
  <si>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</si>
  <si>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</si>
  <si>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</si>
  <si>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</si>
  <si>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</si>
  <si>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</si>
  <si>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</si>
  <si>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</si>
  <si>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</si>
  <si>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</si>
  <si>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</si>
  <si>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</si>
  <si>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</si>
  <si>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</si>
  <si>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</si>
  <si>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</si>
  <si>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</si>
  <si>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</si>
  <si>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</si>
  <si>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</si>
  <si>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</si>
  <si>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</si>
  <si>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</si>
  <si>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</si>
  <si>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</si>
  <si>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</si>
  <si>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</si>
  <si>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</si>
  <si>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</si>
  <si>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</si>
  <si>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</si>
  <si>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</si>
  <si>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</si>
  <si>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</si>
  <si>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</si>
  <si>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</si>
  <si>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</si>
  <si>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</si>
  <si>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</si>
  <si>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</si>
  <si>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</si>
  <si>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</si>
  <si>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</si>
  <si>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</si>
  <si>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</si>
  <si>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</si>
  <si>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</si>
  <si>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</si>
  <si>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</si>
  <si>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</si>
  <si>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</si>
  <si>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</si>
  <si>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</si>
  <si>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</si>
  <si>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</si>
  <si>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</si>
  <si>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</si>
  <si>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</si>
  <si>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</si>
  <si>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</si>
  <si>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</si>
  <si>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</si>
  <si>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</si>
  <si>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</si>
  <si>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</si>
  <si>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</si>
  <si>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</si>
  <si>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</si>
  <si>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</si>
  <si>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</si>
  <si>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</si>
  <si>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</si>
  <si>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</si>
  <si>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</si>
  <si>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</si>
  <si>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</si>
  <si>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</si>
  <si>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</si>
  <si>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</si>
  <si>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</si>
  <si>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</si>
  <si>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</si>
  <si>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</si>
  <si>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</si>
  <si>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</si>
  <si>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</si>
  <si>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</si>
  <si>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</si>
  <si>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</si>
  <si>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</si>
  <si>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</si>
  <si>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</si>
  <si>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</si>
  <si>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</si>
  <si>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</si>
  <si>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</si>
  <si>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</si>
  <si>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</si>
  <si>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</si>
  <si>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</si>
  <si>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</si>
  <si>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</si>
  <si>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</si>
  <si>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</si>
  <si>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</si>
  <si>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</si>
  <si>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</si>
  <si>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</si>
  <si>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</si>
  <si>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</si>
  <si>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</si>
  <si>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</si>
  <si>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</si>
  <si>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</si>
  <si>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</si>
  <si>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</si>
  <si>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</si>
  <si>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</si>
  <si>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</si>
  <si>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</si>
  <si>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</si>
  <si>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</si>
  <si>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</si>
  <si>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</si>
  <si>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</si>
  <si>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</si>
  <si>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</si>
  <si>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</si>
  <si>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</si>
  <si>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</si>
  <si>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</si>
  <si>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</si>
  <si>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</si>
  <si>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</si>
  <si>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</si>
  <si>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</si>
  <si>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</si>
  <si>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</si>
  <si>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</si>
  <si>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</si>
  <si>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</si>
  <si>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</si>
  <si>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</si>
  <si>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</si>
  <si>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</si>
  <si>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</si>
  <si>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</si>
  <si>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</si>
  <si>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</si>
  <si>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</si>
  <si>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</si>
  <si>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</si>
  <si>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</si>
  <si>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</si>
  <si>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</si>
  <si>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</si>
  <si>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</si>
  <si>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</si>
  <si>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</si>
  <si>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</si>
  <si>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</si>
  <si>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</si>
  <si>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</si>
  <si>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</si>
  <si>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</si>
  <si>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</si>
  <si>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</si>
  <si>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</si>
  <si>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</si>
  <si>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</si>
  <si>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</si>
  <si>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</si>
  <si>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</si>
  <si>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</si>
  <si>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</si>
  <si>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</si>
  <si>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</si>
  <si>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</si>
  <si>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</si>
  <si>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</si>
  <si>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</si>
  <si>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</si>
  <si>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</si>
  <si>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</si>
  <si>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</si>
  <si>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</si>
  <si>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</si>
  <si>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</si>
  <si>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</si>
  <si>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</si>
  <si>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</si>
  <si>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</si>
  <si>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</si>
  <si>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</si>
  <si>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</si>
  <si>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</si>
  <si>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</si>
  <si>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</si>
  <si>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</si>
  <si>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</si>
  <si>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</si>
  <si>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</si>
  <si>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</si>
  <si>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</si>
  <si>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</si>
  <si>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</si>
  <si>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</si>
  <si>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</si>
  <si>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</si>
  <si>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</si>
  <si>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</si>
  <si>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</si>
  <si>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</si>
  <si>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</si>
  <si>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</si>
  <si>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</si>
  <si>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</si>
  <si>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</si>
  <si>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</si>
  <si>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</si>
  <si>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</si>
  <si>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</si>
  <si>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</si>
  <si>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</si>
  <si>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</si>
  <si>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</si>
  <si>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</si>
  <si>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</si>
  <si>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</si>
  <si>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</si>
  <si>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</si>
  <si>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</si>
  <si>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</si>
  <si>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</si>
  <si>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</si>
  <si>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</si>
  <si>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</si>
  <si>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</si>
  <si>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</si>
  <si>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</si>
  <si>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</si>
  <si>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</si>
  <si>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</si>
  <si>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</si>
  <si>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</si>
  <si>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</si>
  <si>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</si>
  <si>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</si>
  <si>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</si>
  <si>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</si>
  <si>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</si>
  <si>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</si>
  <si>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</si>
  <si>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</si>
  <si>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</si>
  <si>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</si>
  <si>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</si>
  <si>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</si>
  <si>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</si>
  <si>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</si>
  <si>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</si>
  <si>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</si>
  <si>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</si>
  <si>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</si>
  <si>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</si>
  <si>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</si>
  <si>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</si>
  <si>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</si>
  <si>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</si>
  <si>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</si>
  <si>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</si>
  <si>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</si>
  <si>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</si>
  <si>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</si>
  <si>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</si>
  <si>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</si>
  <si>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</si>
  <si>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</si>
  <si>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</si>
  <si>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</si>
  <si>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</si>
  <si>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</si>
  <si>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</si>
  <si>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</si>
  <si>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</si>
  <si>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</si>
  <si>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</si>
  <si>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</si>
  <si>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</si>
  <si>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</si>
  <si>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</si>
  <si>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</si>
  <si>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</si>
  <si>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</si>
  <si>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</si>
  <si>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</si>
  <si>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</si>
  <si>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</si>
  <si>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</si>
  <si>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</si>
  <si>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</si>
  <si>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</si>
  <si>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</si>
  <si>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</si>
  <si>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</si>
  <si>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</si>
  <si>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</si>
  <si>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</si>
  <si>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</si>
  <si>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</si>
  <si>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</si>
  <si>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</si>
  <si>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</si>
  <si>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</si>
  <si>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</si>
  <si>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</si>
  <si>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</si>
  <si>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</si>
  <si>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</si>
  <si>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</si>
  <si>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</si>
  <si>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</si>
  <si>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</si>
  <si>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</si>
  <si>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</si>
  <si>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</si>
  <si>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</si>
  <si>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</si>
  <si>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</si>
  <si>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</si>
  <si>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</si>
  <si>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</si>
  <si>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</si>
  <si>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</si>
  <si>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</si>
  <si>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</si>
  <si>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</si>
  <si>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</si>
  <si>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</si>
  <si>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</si>
  <si>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</si>
  <si>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</si>
  <si>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</si>
  <si>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</si>
  <si>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</si>
  <si>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</si>
  <si>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</si>
  <si>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</si>
  <si>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</si>
  <si>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</si>
  <si>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</si>
  <si>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</si>
  <si>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</si>
  <si>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</si>
  <si>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</si>
  <si>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</si>
  <si>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</si>
  <si>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</si>
  <si>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</si>
  <si>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</si>
  <si>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</si>
  <si>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</si>
  <si>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</si>
  <si>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</si>
  <si>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</si>
  <si>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</si>
  <si>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</si>
  <si>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</si>
  <si>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</si>
  <si>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</si>
  <si>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</si>
  <si>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</si>
  <si>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</si>
  <si>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</si>
  <si>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</si>
  <si>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</si>
  <si>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</si>
  <si>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</si>
  <si>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</si>
  <si>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</si>
  <si>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</si>
  <si>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</si>
  <si>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</si>
  <si>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</si>
  <si>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</si>
  <si>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</si>
  <si>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</si>
  <si>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</si>
  <si>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</si>
  <si>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</si>
  <si>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</si>
  <si>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</si>
  <si>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</si>
  <si>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</si>
  <si>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</si>
  <si>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</si>
  <si>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</si>
  <si>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</si>
  <si>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</si>
  <si>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</si>
  <si>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</si>
  <si>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</si>
  <si>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</si>
  <si>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</si>
  <si>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</si>
  <si>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</si>
  <si>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</si>
  <si>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</si>
  <si>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</si>
  <si>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</si>
  <si>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</si>
  <si>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</si>
  <si>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</si>
  <si>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</si>
  <si>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</si>
  <si>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</si>
  <si>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</si>
  <si>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</si>
  <si>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</si>
  <si>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</si>
  <si>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</si>
  <si>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</si>
  <si>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</si>
  <si>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</si>
  <si>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</si>
  <si>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</si>
  <si>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</si>
  <si>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</si>
  <si>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</si>
  <si>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</si>
  <si>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</si>
  <si>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</si>
  <si>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</si>
  <si>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</si>
  <si>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</si>
  <si>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</si>
  <si>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</si>
  <si>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</si>
  <si>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</si>
  <si>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</si>
  <si>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</si>
  <si>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</si>
  <si>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</si>
  <si>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</si>
  <si>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</si>
  <si>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</si>
  <si>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</si>
  <si>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</si>
  <si>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</si>
  <si>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</si>
  <si>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</si>
  <si>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</si>
  <si>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</si>
  <si>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</si>
  <si>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</si>
  <si>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</si>
  <si>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</si>
  <si>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</si>
  <si>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</si>
  <si>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</si>
  <si>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</si>
  <si>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</si>
  <si>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</si>
  <si>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</si>
  <si>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</si>
  <si>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</si>
  <si>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</si>
  <si>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</si>
  <si>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</si>
  <si>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</si>
  <si>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</si>
  <si>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</si>
  <si>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</si>
  <si>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</si>
  <si>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</si>
  <si>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</si>
  <si>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</si>
  <si>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</si>
  <si>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</si>
  <si>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</si>
  <si>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</si>
  <si>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</si>
  <si>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</si>
  <si>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</si>
  <si>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</si>
  <si>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</si>
  <si>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</si>
  <si>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</si>
  <si>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</si>
  <si>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</si>
  <si>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</si>
  <si>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</si>
  <si>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</si>
  <si>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</si>
  <si>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</si>
  <si>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</si>
  <si>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</si>
  <si>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</si>
  <si>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</si>
  <si>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</si>
  <si>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</si>
  <si>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</si>
  <si>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</si>
  <si>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</si>
  <si>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</si>
  <si>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</si>
  <si>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</si>
  <si>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</si>
  <si>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</si>
  <si>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</si>
  <si>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</si>
  <si>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</si>
  <si>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</si>
  <si>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</si>
  <si>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</si>
  <si>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</si>
  <si>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</si>
  <si>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</si>
  <si>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</si>
  <si>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</si>
  <si>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</si>
  <si>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</si>
  <si>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</si>
  <si>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</si>
  <si>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</si>
  <si>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</si>
  <si>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</si>
  <si>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</si>
  <si>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</si>
  <si>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</si>
  <si>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</si>
  <si>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</si>
  <si>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</si>
  <si>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</si>
  <si>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</si>
  <si>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</si>
  <si>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</si>
  <si>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</si>
  <si>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</si>
  <si>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</si>
  <si>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</si>
  <si>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</si>
  <si>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</si>
  <si>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</si>
  <si>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</si>
  <si>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</si>
  <si>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</si>
  <si>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</si>
  <si>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</si>
  <si>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</si>
  <si>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</si>
  <si>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</si>
  <si>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</si>
  <si>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</si>
  <si>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</si>
  <si>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</si>
  <si>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</si>
  <si>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</si>
  <si>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</si>
  <si>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</si>
  <si>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</si>
  <si>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</si>
  <si>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</si>
  <si>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</si>
  <si>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</si>
  <si>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</si>
  <si>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</si>
  <si>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</si>
  <si>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</si>
  <si>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</si>
  <si>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</si>
  <si>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</si>
  <si>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</si>
  <si>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</si>
  <si>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</si>
  <si>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</si>
  <si>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</si>
  <si>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</si>
  <si>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</si>
  <si>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</si>
  <si>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</si>
  <si>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</si>
  <si>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</si>
  <si>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</si>
  <si>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</si>
  <si>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</si>
  <si>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</si>
  <si>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</si>
  <si>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</si>
  <si>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</si>
  <si>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</si>
  <si>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</si>
  <si>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</si>
  <si>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</si>
  <si>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</si>
  <si>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</si>
  <si>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</si>
  <si>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</si>
  <si>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</si>
  <si>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</si>
  <si>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</si>
  <si>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</si>
  <si>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</si>
  <si>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</si>
  <si>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</si>
  <si>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</si>
  <si>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</si>
  <si>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</si>
  <si>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</si>
  <si>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</si>
  <si>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</si>
  <si>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</si>
  <si>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</si>
  <si>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</si>
  <si>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</si>
  <si>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</si>
  <si>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</si>
  <si>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</si>
  <si>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</si>
  <si>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</si>
  <si>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</si>
  <si>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</si>
  <si>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</si>
  <si>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</si>
  <si>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</si>
  <si>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</si>
  <si>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</si>
  <si>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</si>
  <si>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</si>
  <si>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</si>
  <si>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</si>
  <si>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</si>
  <si>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</si>
  <si>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</si>
  <si>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</si>
  <si>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</si>
  <si>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</si>
  <si>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</si>
  <si>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</si>
  <si>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</si>
  <si>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</si>
  <si>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</si>
  <si>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</si>
  <si>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</si>
  <si>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</si>
  <si>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</si>
  <si>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</si>
  <si>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</si>
  <si>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</si>
  <si>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</si>
  <si>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</si>
  <si>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</si>
  <si>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</si>
  <si>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</si>
  <si>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</si>
  <si>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</si>
  <si>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</si>
  <si>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</si>
  <si>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</si>
  <si>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</si>
  <si>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</si>
  <si>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</si>
  <si>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</si>
  <si>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</si>
  <si>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</si>
  <si>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</si>
  <si>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</si>
  <si>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</si>
  <si>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</si>
  <si>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</si>
  <si>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</si>
  <si>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</si>
  <si>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</si>
  <si>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</si>
  <si>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</si>
  <si>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</si>
  <si>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</si>
  <si>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</si>
  <si>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</si>
  <si>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</si>
  <si>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</si>
  <si>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</si>
  <si>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</si>
  <si>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</si>
  <si>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</si>
  <si>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</si>
  <si>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</si>
  <si>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</si>
  <si>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</si>
  <si>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</si>
  <si>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</si>
  <si>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</si>
  <si>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</si>
  <si>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</si>
  <si>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</si>
  <si>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</si>
  <si>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</si>
  <si>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</si>
  <si>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</si>
  <si>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</si>
  <si>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</si>
  <si>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</si>
  <si>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</si>
  <si>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</si>
  <si>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</si>
  <si>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</si>
  <si>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</si>
  <si>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</si>
  <si>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</si>
  <si>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</si>
  <si>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</si>
  <si>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</si>
  <si>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</si>
  <si>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</si>
  <si>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</si>
  <si>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</si>
  <si>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</si>
  <si>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</si>
  <si>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</si>
  <si>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</si>
  <si>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</si>
  <si>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</si>
  <si>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</si>
  <si>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</si>
  <si>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</si>
  <si>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</si>
  <si>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</si>
  <si>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</si>
  <si>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</si>
  <si>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</si>
  <si>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</si>
  <si>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</si>
  <si>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</si>
  <si>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</si>
  <si>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</si>
  <si>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</si>
  <si>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</si>
  <si>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</si>
  <si>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</si>
  <si>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</si>
  <si>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</si>
  <si>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</si>
  <si>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</si>
  <si>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</si>
  <si>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</si>
  <si>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</si>
  <si>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</si>
  <si>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</si>
  <si>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</si>
  <si>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</si>
  <si>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</si>
  <si>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</si>
  <si>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</si>
  <si>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</si>
  <si>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</si>
  <si>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</si>
  <si>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</si>
  <si>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</si>
  <si>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</si>
  <si>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</si>
  <si>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</si>
  <si>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</si>
  <si>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</si>
  <si>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</si>
  <si>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</si>
  <si>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</si>
  <si>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</si>
  <si>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</si>
  <si>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</si>
  <si>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</si>
  <si>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</si>
  <si>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</si>
  <si>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</si>
  <si>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</si>
  <si>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</si>
  <si>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</si>
  <si>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</si>
  <si>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</si>
  <si>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</si>
  <si>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</si>
  <si>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</si>
  <si>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</si>
  <si>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</si>
  <si>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</si>
  <si>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</si>
  <si>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</si>
  <si>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</si>
  <si>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</si>
  <si>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</si>
  <si>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</si>
  <si>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</si>
  <si>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</si>
  <si>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</si>
  <si>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</si>
  <si>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</si>
  <si>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</si>
  <si>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</si>
  <si>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</si>
  <si>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</si>
  <si>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</si>
  <si>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</si>
  <si>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</si>
  <si>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</si>
  <si>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</si>
  <si>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</si>
  <si>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</si>
  <si>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</si>
  <si>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</si>
  <si>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</si>
  <si>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</si>
  <si>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</si>
  <si>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</si>
  <si>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</si>
  <si>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</si>
  <si>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</si>
  <si>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</si>
  <si>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</si>
  <si>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</si>
  <si>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</si>
  <si>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</si>
  <si>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</si>
  <si>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</si>
  <si>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</si>
  <si>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</si>
  <si>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</si>
  <si>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</si>
  <si>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</si>
  <si>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</si>
  <si>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</si>
  <si>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</si>
  <si>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</si>
  <si>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</si>
  <si>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</si>
  <si>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</si>
  <si>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</si>
  <si>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</si>
  <si>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</si>
  <si>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</si>
  <si>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</si>
  <si>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</si>
  <si>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</si>
  <si>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</si>
  <si>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</si>
  <si>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</si>
  <si>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</si>
  <si>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</si>
  <si>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</si>
  <si>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</si>
  <si>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</si>
  <si>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</si>
  <si>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</si>
  <si>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</si>
  <si>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</si>
  <si>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</si>
  <si>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</si>
  <si>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</si>
  <si>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</si>
  <si>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</si>
  <si>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</si>
  <si>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</si>
  <si>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</si>
  <si>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</si>
  <si>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</si>
  <si>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</si>
  <si>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</si>
  <si>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</si>
  <si>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</si>
  <si>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</si>
  <si>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</si>
  <si>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</si>
  <si>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</si>
  <si>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</si>
  <si>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</si>
  <si>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</si>
  <si>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</si>
  <si>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</si>
  <si>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</si>
  <si>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</si>
  <si>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</si>
  <si>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</si>
  <si>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</si>
  <si>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</si>
  <si>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</si>
  <si>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</si>
  <si>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</si>
  <si>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</si>
  <si>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</si>
  <si>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</si>
  <si>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</si>
  <si>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</si>
  <si>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</si>
  <si>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</si>
  <si>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</si>
  <si>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</si>
  <si>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</si>
  <si>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</si>
  <si>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</si>
  <si>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</si>
  <si>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</si>
  <si>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</si>
  <si>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</si>
  <si>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</si>
  <si>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</si>
  <si>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</si>
  <si>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</si>
  <si>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</si>
  <si>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</si>
  <si>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</si>
  <si>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</si>
  <si>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</si>
  <si>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</si>
  <si>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</si>
  <si>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</si>
  <si>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</si>
  <si>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</si>
  <si>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</si>
  <si>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</si>
  <si>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</si>
  <si>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</si>
  <si>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</si>
  <si>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</si>
  <si>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</si>
  <si>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</si>
  <si>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</si>
  <si>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</si>
  <si>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</si>
  <si>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</si>
  <si>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</si>
  <si>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</si>
  <si>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</si>
  <si>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</si>
  <si>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</si>
  <si>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</si>
  <si>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</si>
  <si>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</si>
  <si>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</si>
  <si>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</si>
  <si>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</si>
  <si>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</si>
  <si>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</si>
  <si>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</si>
  <si>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</si>
  <si>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</si>
  <si>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</si>
  <si>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</si>
  <si>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</si>
  <si>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</si>
  <si>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</si>
  <si>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</si>
  <si>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</si>
  <si>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</si>
  <si>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</si>
  <si>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</si>
  <si>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</si>
  <si>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</si>
  <si>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</si>
  <si>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</si>
  <si>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</si>
  <si>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</si>
  <si>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</si>
  <si>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</si>
  <si>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</si>
  <si>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</si>
  <si>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</si>
  <si>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</si>
  <si>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</si>
  <si>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</si>
  <si>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</si>
  <si>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</si>
  <si>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</si>
  <si>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</si>
  <si>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</si>
  <si>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</si>
  <si>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</si>
  <si>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</si>
  <si>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</si>
  <si>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</si>
  <si>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</si>
  <si>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</si>
  <si>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</si>
  <si>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</si>
  <si>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</si>
  <si>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</si>
  <si>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</si>
  <si>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</si>
  <si>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</si>
  <si>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</si>
  <si>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</si>
  <si>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</si>
  <si>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</si>
  <si>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</si>
  <si>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</si>
  <si>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</si>
  <si>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</si>
  <si>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</si>
  <si>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</si>
  <si>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</si>
  <si>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</si>
  <si>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</si>
  <si>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</si>
  <si>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</si>
  <si>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</si>
  <si>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</si>
  <si>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</si>
  <si>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</si>
  <si>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</si>
  <si>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</si>
  <si>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</si>
  <si>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</si>
  <si>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</si>
  <si>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</si>
  <si>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</si>
  <si>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</si>
  <si>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</si>
  <si>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</si>
  <si>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</si>
  <si>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</si>
  <si>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</si>
  <si>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</si>
  <si>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</si>
  <si>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</si>
  <si>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</si>
  <si>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</si>
  <si>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</si>
  <si>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</si>
  <si>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</si>
  <si>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</si>
  <si>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</si>
  <si>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</si>
  <si>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</si>
  <si>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</si>
  <si>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</si>
  <si>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</si>
  <si>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</si>
  <si>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</si>
  <si>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</si>
  <si>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</si>
  <si>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</si>
  <si>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</si>
  <si>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</si>
  <si>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</si>
  <si>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</si>
  <si>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</si>
  <si>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</si>
  <si>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</si>
  <si>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</si>
  <si>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</si>
  <si>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</si>
  <si>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</si>
  <si>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</si>
  <si>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</si>
  <si>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</si>
  <si>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</si>
  <si>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</si>
  <si>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</si>
  <si>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</si>
  <si>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</si>
  <si>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</si>
  <si>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</si>
  <si>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</si>
  <si>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</si>
  <si>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</si>
  <si>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</si>
  <si>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</si>
  <si>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</si>
  <si>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</si>
  <si>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</si>
  <si>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</si>
  <si>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</si>
  <si>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</si>
  <si>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</si>
  <si>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</si>
  <si>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</si>
  <si>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</si>
  <si>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</si>
  <si>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</si>
  <si>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</si>
  <si>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</si>
  <si>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</si>
  <si>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</si>
  <si>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</si>
  <si>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</si>
  <si>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</si>
  <si>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</si>
  <si>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</si>
  <si>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</si>
  <si>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</si>
  <si>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</si>
  <si>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</si>
  <si>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</si>
  <si>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</si>
  <si>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</si>
  <si>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</si>
  <si>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</si>
  <si>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</si>
  <si>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</si>
  <si>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</si>
  <si>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</si>
  <si>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</si>
  <si>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</si>
  <si>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</si>
  <si>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</si>
  <si>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</si>
  <si>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</si>
  <si>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</si>
  <si>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</si>
  <si>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</si>
  <si>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</si>
  <si>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</si>
  <si>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</si>
  <si>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</si>
  <si>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</si>
  <si>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</si>
  <si>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</si>
  <si>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</si>
  <si>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</si>
  <si>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</si>
  <si>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</si>
  <si>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</si>
  <si>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</si>
  <si>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</si>
  <si>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</si>
  <si>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</si>
  <si>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</si>
  <si>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</si>
  <si>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</si>
  <si>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</si>
  <si>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</si>
  <si>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</si>
  <si>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</si>
  <si>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</si>
  <si>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</si>
  <si>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</si>
  <si>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</si>
  <si>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</si>
  <si>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</si>
  <si>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</si>
  <si>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</si>
  <si>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</si>
  <si>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</si>
  <si>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</si>
  <si>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</si>
  <si>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</si>
  <si>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</si>
  <si>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</si>
  <si>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</si>
  <si>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</si>
  <si>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</si>
  <si>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</si>
  <si>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</si>
  <si>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</si>
  <si>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</si>
  <si>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</si>
  <si>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</si>
  <si>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</si>
  <si>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</si>
  <si>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</si>
  <si>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</si>
  <si>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</si>
  <si>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</si>
  <si>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</si>
  <si>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</si>
  <si>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</si>
  <si>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</si>
  <si>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</si>
  <si>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</si>
  <si>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</si>
  <si>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</si>
  <si>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</si>
  <si>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</si>
  <si>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</si>
  <si>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</si>
  <si>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</si>
  <si>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</si>
  <si>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</si>
  <si>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</si>
  <si>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</si>
  <si>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</si>
  <si>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</si>
  <si>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</si>
  <si>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</si>
  <si>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</si>
  <si>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</si>
  <si>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</si>
  <si>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</si>
  <si>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</si>
  <si>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</si>
  <si>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</si>
  <si>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</si>
  <si>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</si>
  <si>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</si>
  <si>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</si>
  <si>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</si>
  <si>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</si>
  <si>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</si>
  <si>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</si>
  <si>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</si>
  <si>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</si>
  <si>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</si>
  <si>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</si>
  <si>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</si>
  <si>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</si>
  <si>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</si>
  <si>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</si>
  <si>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</si>
  <si>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</si>
  <si>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</si>
  <si>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</si>
  <si>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</si>
  <si>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</si>
  <si>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</si>
  <si>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</si>
  <si>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</si>
  <si>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</si>
  <si>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</si>
  <si>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</si>
  <si>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</si>
  <si>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</si>
  <si>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</si>
  <si>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</si>
  <si>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</si>
  <si>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</si>
  <si>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</si>
  <si>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</si>
  <si>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</si>
  <si>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</si>
  <si>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</si>
  <si>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</si>
  <si>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</si>
  <si>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</si>
  <si>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</si>
  <si>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</si>
  <si>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</si>
  <si>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</si>
  <si>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</si>
  <si>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</si>
  <si>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</si>
  <si>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</si>
  <si>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</si>
  <si>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</si>
  <si>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</si>
  <si>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</si>
  <si>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</si>
  <si>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</si>
  <si>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</si>
  <si>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</si>
  <si>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</si>
  <si>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</si>
  <si>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</si>
  <si>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</si>
  <si>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</si>
  <si>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</si>
  <si>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</si>
  <si>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</si>
  <si>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</si>
  <si>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</si>
  <si>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</si>
  <si>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</si>
  <si>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</si>
  <si>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</si>
  <si>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</si>
  <si>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</si>
  <si>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</si>
  <si>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</si>
  <si>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</si>
  <si>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</si>
  <si>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</si>
  <si>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</si>
  <si>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</si>
  <si>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</si>
  <si>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</si>
  <si>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</si>
  <si>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</si>
  <si>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</si>
  <si>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</si>
  <si>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</si>
  <si>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</si>
  <si>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</si>
  <si>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</si>
  <si>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</si>
  <si>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</si>
  <si>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</si>
  <si>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</si>
  <si>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</si>
  <si>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</si>
  <si>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</si>
  <si>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</si>
  <si>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</si>
  <si>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</si>
  <si>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</si>
  <si>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</si>
  <si>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</si>
  <si>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</si>
  <si>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</si>
  <si>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</si>
  <si>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</si>
  <si>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</si>
  <si>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</si>
  <si>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</si>
  <si>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</si>
  <si>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</si>
  <si>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</si>
  <si>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</si>
  <si>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</si>
  <si>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</si>
  <si>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</si>
  <si>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</si>
  <si>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</si>
  <si>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</si>
  <si>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</si>
  <si>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</si>
  <si>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</si>
  <si>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</si>
  <si>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</si>
  <si>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</si>
  <si>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</si>
  <si>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</si>
  <si>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</si>
  <si>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</si>
  <si>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</si>
  <si>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</si>
  <si>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</si>
  <si>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</si>
  <si>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</si>
  <si>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</si>
  <si>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</si>
  <si>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</si>
  <si>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</si>
  <si>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</si>
  <si>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</si>
  <si>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</si>
  <si>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</si>
  <si>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</si>
  <si>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</si>
  <si>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</si>
  <si>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</si>
  <si>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</si>
  <si>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</si>
  <si>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</si>
  <si>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</si>
  <si>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</si>
  <si>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</si>
  <si>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</si>
  <si>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</si>
  <si>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</si>
  <si>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</si>
  <si>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</si>
  <si>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</si>
  <si>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</si>
  <si>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</si>
  <si>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</si>
  <si>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</si>
  <si>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</si>
  <si>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</si>
  <si>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</si>
  <si>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</si>
  <si>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</si>
  <si>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</si>
  <si>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</si>
  <si>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</si>
  <si>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</si>
  <si>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</si>
  <si>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</si>
  <si>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</si>
  <si>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</si>
  <si>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</si>
  <si>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</si>
  <si>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</si>
  <si>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</si>
  <si>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</si>
  <si>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</si>
  <si>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</si>
  <si>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</si>
  <si>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</si>
  <si>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</si>
  <si>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</si>
  <si>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</si>
  <si>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</si>
  <si>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</si>
  <si>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</si>
  <si>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</si>
  <si>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</si>
  <si>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</si>
  <si>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</si>
  <si>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</si>
  <si>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</si>
  <si>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</si>
  <si>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</si>
  <si>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</si>
  <si>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</si>
  <si>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</si>
  <si>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</si>
  <si>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</si>
  <si>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</si>
  <si>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</si>
  <si>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</si>
  <si>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</si>
  <si>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</si>
  <si>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</si>
  <si>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</si>
  <si>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</si>
  <si>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</si>
  <si>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</si>
  <si>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</si>
  <si>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</si>
  <si>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</si>
  <si>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</si>
  <si>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</si>
  <si>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</si>
  <si>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</si>
  <si>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</si>
  <si>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</si>
  <si>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</si>
  <si>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</si>
  <si>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</si>
  <si>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</si>
  <si>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</si>
  <si>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</si>
  <si>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</si>
  <si>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</si>
  <si>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</si>
  <si>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</si>
  <si>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</si>
  <si>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</si>
  <si>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</si>
  <si>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</si>
  <si>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</si>
  <si>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</si>
  <si>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</si>
  <si>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</si>
  <si>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</si>
  <si>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</si>
  <si>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</si>
  <si>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</si>
  <si>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</si>
  <si>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</si>
  <si>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</si>
  <si>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</si>
  <si>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</si>
  <si>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</si>
  <si>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</si>
  <si>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</si>
  <si>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</si>
  <si>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</si>
  <si>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</si>
  <si>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</si>
  <si>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</si>
  <si>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</si>
  <si>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</si>
  <si>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</si>
  <si>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</si>
  <si>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</si>
  <si>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</si>
  <si>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</si>
  <si>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</si>
  <si>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</si>
  <si>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</si>
  <si>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</si>
  <si>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</si>
  <si>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</si>
  <si>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</si>
  <si>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</si>
  <si>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</si>
  <si>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</si>
  <si>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</si>
  <si>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</si>
  <si>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</si>
  <si>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</si>
  <si>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</si>
  <si>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</si>
  <si>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</si>
  <si>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</si>
  <si>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</si>
  <si>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</si>
  <si>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</si>
  <si>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</si>
  <si>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</si>
  <si>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</si>
  <si>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</si>
  <si>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</si>
  <si>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</si>
  <si>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</si>
  <si>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</si>
  <si>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</si>
  <si>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</si>
  <si>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</si>
  <si>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</si>
  <si>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</si>
  <si>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</si>
  <si>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</si>
  <si>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</si>
  <si>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</si>
  <si>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</si>
  <si>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</si>
  <si>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</si>
  <si>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</si>
  <si>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</si>
  <si>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</si>
  <si>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</si>
  <si>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</si>
  <si>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</si>
  <si>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</si>
  <si>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</si>
  <si>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</si>
  <si>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</si>
  <si>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</si>
  <si>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</si>
  <si>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</si>
  <si>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</si>
  <si>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</si>
  <si>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</si>
  <si>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</si>
  <si>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</si>
  <si>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</si>
  <si>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</si>
  <si>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</si>
  <si>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</si>
  <si>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</si>
  <si>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</si>
  <si>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</si>
  <si>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</si>
  <si>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</si>
  <si>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</si>
  <si>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</si>
  <si>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</si>
  <si>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</si>
  <si>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</si>
  <si>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</si>
  <si>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</si>
  <si>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</si>
  <si>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</si>
  <si>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</si>
  <si>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</si>
  <si>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</si>
  <si>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</si>
  <si>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</si>
  <si>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</si>
  <si>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</si>
  <si>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</si>
  <si>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</si>
  <si>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</si>
  <si>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</si>
  <si>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</si>
  <si>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</si>
  <si>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</si>
  <si>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</si>
  <si>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</si>
  <si>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</si>
  <si>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</si>
  <si>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</si>
  <si>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</si>
  <si>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</si>
  <si>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</si>
  <si>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</si>
  <si>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</si>
  <si>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</si>
  <si>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</si>
  <si>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</si>
  <si>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</si>
  <si>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</si>
  <si>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</si>
  <si>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</si>
  <si>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</si>
  <si>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</si>
  <si>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</si>
  <si>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</si>
  <si>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</si>
  <si>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</si>
  <si>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</si>
  <si>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</si>
  <si>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</si>
  <si>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</si>
  <si>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</si>
  <si>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</si>
  <si>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</si>
  <si>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</si>
  <si>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</si>
  <si>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</si>
  <si>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</si>
  <si>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</si>
  <si>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</si>
  <si>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</si>
  <si>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</si>
  <si>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</si>
  <si>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</si>
  <si>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</si>
  <si>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</si>
  <si>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</si>
  <si>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</si>
  <si>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</si>
  <si>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</si>
  <si>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</si>
  <si>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</si>
  <si>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</si>
  <si>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</si>
  <si>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</si>
  <si>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</si>
  <si>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</si>
  <si>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</si>
  <si>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</si>
  <si>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</si>
  <si>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</si>
  <si>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</si>
  <si>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</si>
  <si>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</si>
  <si>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</si>
  <si>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</si>
  <si>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</si>
  <si>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</si>
  <si>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</si>
  <si>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</si>
  <si>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</si>
  <si>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</si>
  <si>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</si>
  <si>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</si>
  <si>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</si>
  <si>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</si>
  <si>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</si>
  <si>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</si>
  <si>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</si>
  <si>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</si>
  <si>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</si>
  <si>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</si>
  <si>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</si>
  <si>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</si>
  <si>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</si>
  <si>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</si>
  <si>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</si>
  <si>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</si>
  <si>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</si>
  <si>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</si>
  <si>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</si>
  <si>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</si>
  <si>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</si>
  <si>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</si>
  <si>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</si>
  <si>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</si>
  <si>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</si>
  <si>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</si>
  <si>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</si>
  <si>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</si>
  <si>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</si>
  <si>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</si>
  <si>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</si>
  <si>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</si>
  <si>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</si>
  <si>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</si>
  <si>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</si>
  <si>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</si>
  <si>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</si>
  <si>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</si>
  <si>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</si>
  <si>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</si>
  <si>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</si>
  <si>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</si>
  <si>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</si>
  <si>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</si>
  <si>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</si>
  <si>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</si>
  <si>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</si>
  <si>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</si>
  <si>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</si>
  <si>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</si>
  <si>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</si>
  <si>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</si>
  <si>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</si>
  <si>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</si>
  <si>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</si>
  <si>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</si>
  <si>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</si>
  <si>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</si>
  <si>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</si>
  <si>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</si>
  <si>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</si>
  <si>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</si>
  <si>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</si>
  <si>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</si>
  <si>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</si>
  <si>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</si>
  <si>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</si>
  <si>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</si>
  <si>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</si>
  <si>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</si>
  <si>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</si>
  <si>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</si>
  <si>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</si>
  <si>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</si>
  <si>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</si>
  <si>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</si>
  <si>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</si>
  <si>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</si>
  <si>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</si>
  <si>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</si>
  <si>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</si>
  <si>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</si>
  <si>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</si>
  <si>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</si>
  <si>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</si>
  <si>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</si>
  <si>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</si>
  <si>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</si>
  <si>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</si>
  <si>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</si>
  <si>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</si>
  <si>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</si>
  <si>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</si>
  <si>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</si>
  <si>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</si>
  <si>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</si>
  <si>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</si>
  <si>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</si>
  <si>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</si>
  <si>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</si>
  <si>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</si>
  <si>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</si>
  <si>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</si>
  <si>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</si>
  <si>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</si>
  <si>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</si>
  <si>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</si>
  <si>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</si>
  <si>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</si>
  <si>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</si>
  <si>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</si>
  <si>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</si>
  <si>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</si>
  <si>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</si>
  <si>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</si>
  <si>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</si>
  <si>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</si>
  <si>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</si>
  <si>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</si>
  <si>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</si>
  <si>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</si>
  <si>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</si>
  <si>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</si>
  <si>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</si>
  <si>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</si>
  <si>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</si>
  <si>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</si>
  <si>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</si>
  <si>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</si>
  <si>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</si>
  <si>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</si>
  <si>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</si>
  <si>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</si>
  <si>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</si>
  <si>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</si>
  <si>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</si>
  <si>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</si>
  <si>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</si>
  <si>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</si>
  <si>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</si>
  <si>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</si>
  <si>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</si>
  <si>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</si>
  <si>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</si>
  <si>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</si>
  <si>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</si>
  <si>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</si>
  <si>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</si>
  <si>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</si>
  <si>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</si>
  <si>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</si>
  <si>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</si>
  <si>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</si>
  <si>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</si>
  <si>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</si>
  <si>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</si>
  <si>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</si>
  <si>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</si>
  <si>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</si>
  <si>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</si>
  <si>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</si>
  <si>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</si>
  <si>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</si>
  <si>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</si>
  <si>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</si>
  <si>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</si>
  <si>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</si>
  <si>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</si>
  <si>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</si>
  <si>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</si>
  <si>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</si>
  <si>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</si>
  <si>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</si>
  <si>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</si>
  <si>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</si>
  <si>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</si>
  <si>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</si>
  <si>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</si>
  <si>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</si>
  <si>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</si>
  <si>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</si>
  <si>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</si>
  <si>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</si>
  <si>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</si>
  <si>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</si>
  <si>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</si>
  <si>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</si>
  <si>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</si>
  <si>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</si>
  <si>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</si>
  <si>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</si>
  <si>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</si>
  <si>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</si>
  <si>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</si>
  <si>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</si>
  <si>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</si>
  <si>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</si>
  <si>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</si>
  <si>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</si>
  <si>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</si>
  <si>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</si>
  <si>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</si>
  <si>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</si>
  <si>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</si>
  <si>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</si>
  <si>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</si>
  <si>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</si>
  <si>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</si>
  <si>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</si>
  <si>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</si>
  <si>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</si>
  <si>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</si>
  <si>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</si>
  <si>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</si>
  <si>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</si>
  <si>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</si>
  <si>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</si>
  <si>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</si>
  <si>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</si>
  <si>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</si>
  <si>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</si>
  <si>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</si>
  <si>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</si>
  <si>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</si>
  <si>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</si>
  <si>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</si>
  <si>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</si>
  <si>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</si>
  <si>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</si>
  <si>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</si>
  <si>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</si>
  <si>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</si>
  <si>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</si>
  <si>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</si>
  <si>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</si>
  <si>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</si>
  <si>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</si>
  <si>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</si>
  <si>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</si>
  <si>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</si>
  <si>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</si>
  <si>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</si>
  <si>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</si>
  <si>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</si>
  <si>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</si>
  <si>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</si>
  <si>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</si>
  <si>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</si>
  <si>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</si>
  <si>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</si>
  <si>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</si>
  <si>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</si>
  <si>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</si>
  <si>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</si>
  <si>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</si>
  <si>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</si>
  <si>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</si>
  <si>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</si>
  <si>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</si>
  <si>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</si>
  <si>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</si>
  <si>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</si>
  <si>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</si>
  <si>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</si>
  <si>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</si>
  <si>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</si>
  <si>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</si>
  <si>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</si>
  <si>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</si>
  <si>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</si>
  <si>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</si>
  <si>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</si>
  <si>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</si>
  <si>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</si>
  <si>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</si>
  <si>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</si>
  <si>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</si>
  <si>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</si>
  <si>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</si>
  <si>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</si>
  <si>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</si>
  <si>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</si>
  <si>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</si>
  <si>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</si>
  <si>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</si>
  <si>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</si>
  <si>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</si>
  <si>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</si>
  <si>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</si>
  <si>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</si>
  <si>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</si>
  <si>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</si>
  <si>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</si>
  <si>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</si>
  <si>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</si>
  <si>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</si>
  <si>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</si>
  <si>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</si>
  <si>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</si>
  <si>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</si>
  <si>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</si>
  <si>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</si>
  <si>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</si>
  <si>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</si>
  <si>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</si>
  <si>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</si>
  <si>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</si>
  <si>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</si>
  <si>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</si>
  <si>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</si>
  <si>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</si>
  <si>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</si>
  <si>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</si>
  <si>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</si>
  <si>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</si>
  <si>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</si>
  <si>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</si>
  <si>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</si>
  <si>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</si>
  <si>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</si>
  <si>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</si>
  <si>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</si>
  <si>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</si>
  <si>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</si>
  <si>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</si>
  <si>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</si>
  <si>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</si>
  <si>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</si>
  <si>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</si>
  <si>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</si>
  <si>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</si>
  <si>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</si>
  <si>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</si>
  <si>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</si>
  <si>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</si>
  <si>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</si>
  <si>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</si>
  <si>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</si>
  <si>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</si>
  <si>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</si>
  <si>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</si>
  <si>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</si>
  <si>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</si>
  <si>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</si>
  <si>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</si>
  <si>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</si>
  <si>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</si>
  <si>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</si>
  <si>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</si>
  <si>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</si>
  <si>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</si>
  <si>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</si>
  <si>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</si>
  <si>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</si>
  <si>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</si>
  <si>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</si>
  <si>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</si>
  <si>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</si>
  <si>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</si>
  <si>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</si>
  <si>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</si>
  <si>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</si>
  <si>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</si>
  <si>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</si>
  <si>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</si>
  <si>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</si>
  <si>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</si>
  <si>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</si>
  <si>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</si>
  <si>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</si>
  <si>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</si>
  <si>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</si>
  <si>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</si>
  <si>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</si>
  <si>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</si>
  <si>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</si>
  <si>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</si>
  <si>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</si>
  <si>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</si>
  <si>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</si>
  <si>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</si>
  <si>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</si>
  <si>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</si>
  <si>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</si>
  <si>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</si>
  <si>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</si>
  <si>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</si>
  <si>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</si>
  <si>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</si>
  <si>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</si>
  <si>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</si>
  <si>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</si>
  <si>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</si>
  <si>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</si>
  <si>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</si>
  <si>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</si>
  <si>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</si>
  <si>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</si>
  <si>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</si>
  <si>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</si>
  <si>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</si>
  <si>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</si>
  <si>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</si>
  <si>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</si>
  <si>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</si>
  <si>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</si>
  <si>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</si>
  <si>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</si>
  <si>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</si>
  <si>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</si>
  <si>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</si>
  <si>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</si>
  <si>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</si>
  <si>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</si>
  <si>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</si>
  <si>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</si>
  <si>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</si>
  <si>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</si>
  <si>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</si>
  <si>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</si>
  <si>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</si>
  <si>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</si>
  <si>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</si>
  <si>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</si>
  <si>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</si>
  <si>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</si>
  <si>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</si>
  <si>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</si>
  <si>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</si>
  <si>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</si>
  <si>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</si>
  <si>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</si>
  <si>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</si>
  <si>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</si>
  <si>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</si>
  <si>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</si>
  <si>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</si>
  <si>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</si>
  <si>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</si>
  <si>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</si>
  <si>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</si>
  <si>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</si>
  <si>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</si>
  <si>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</si>
  <si>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</si>
  <si>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</si>
  <si>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</si>
  <si>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</si>
  <si>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</si>
  <si>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</si>
  <si>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</si>
  <si>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</si>
  <si>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</si>
  <si>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</si>
  <si>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</si>
  <si>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</si>
  <si>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</si>
  <si>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</si>
  <si>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</si>
  <si>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</si>
  <si>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</si>
  <si>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</si>
  <si>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</si>
  <si>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</si>
  <si>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</si>
  <si>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</si>
  <si>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</si>
  <si>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</si>
  <si>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</si>
  <si>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</si>
  <si>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</si>
  <si>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</si>
  <si>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</si>
  <si>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</si>
  <si>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</si>
  <si>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</si>
  <si>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</si>
  <si>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</si>
  <si>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</si>
  <si>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</si>
  <si>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</si>
  <si>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</si>
  <si>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</si>
  <si>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</si>
  <si>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</si>
  <si>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</si>
  <si>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</si>
  <si>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</si>
  <si>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</si>
  <si>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</si>
  <si>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</si>
  <si>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</si>
  <si>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</si>
  <si>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</si>
  <si>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</si>
  <si>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</si>
  <si>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</si>
  <si>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</si>
  <si>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</si>
  <si>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</si>
  <si>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</si>
  <si>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</si>
  <si>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</si>
  <si>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</si>
  <si>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</si>
  <si>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</si>
  <si>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</si>
  <si>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</si>
  <si>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</si>
  <si>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</si>
  <si>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</si>
  <si>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</si>
  <si>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</si>
  <si>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</si>
  <si>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</si>
  <si>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</si>
  <si>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</si>
  <si>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</si>
  <si>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</si>
  <si>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</si>
  <si>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</si>
  <si>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</si>
  <si>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</si>
  <si>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</si>
  <si>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</si>
  <si>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</si>
  <si>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</si>
  <si>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</si>
  <si>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</si>
  <si>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</si>
  <si>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</si>
  <si>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</si>
  <si>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</si>
  <si>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</si>
  <si>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</si>
  <si>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</si>
  <si>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</si>
  <si>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</si>
  <si>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</si>
  <si>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</si>
  <si>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</si>
  <si>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</si>
  <si>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</si>
  <si>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</si>
  <si>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</si>
  <si>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</si>
  <si>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</si>
  <si>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</si>
  <si>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</si>
  <si>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</si>
  <si>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</si>
  <si>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</si>
  <si>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</si>
  <si>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</si>
  <si>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</si>
  <si>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</si>
  <si>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</si>
  <si>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</si>
  <si>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</si>
  <si>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</si>
  <si>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</si>
  <si>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</si>
  <si>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</si>
  <si>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</si>
  <si>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</si>
  <si>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</si>
  <si>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</si>
  <si>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</si>
  <si>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</si>
  <si>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</si>
  <si>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</si>
  <si>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</si>
  <si>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</si>
  <si>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</si>
  <si>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</si>
  <si>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</si>
  <si>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</si>
  <si>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</si>
  <si>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</si>
  <si>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</si>
  <si>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</si>
  <si>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</si>
  <si>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</si>
  <si>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</si>
  <si>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</si>
  <si>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</si>
  <si>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</si>
  <si>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</si>
  <si>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</si>
  <si>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</si>
  <si>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</si>
  <si>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</si>
  <si>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</si>
  <si>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</si>
  <si>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</si>
  <si>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</si>
  <si>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</si>
  <si>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</si>
  <si>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</si>
  <si>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</si>
  <si>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</si>
  <si>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</si>
  <si>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</si>
  <si>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</si>
  <si>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</si>
  <si>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</si>
  <si>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</si>
  <si>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</si>
  <si>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</si>
  <si>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</si>
  <si>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</si>
  <si>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</si>
  <si>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</si>
  <si>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</si>
  <si>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</si>
  <si>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</si>
  <si>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</si>
  <si>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</si>
  <si>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</si>
  <si>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</si>
  <si>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</si>
  <si>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</si>
  <si>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</si>
  <si>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</si>
  <si>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</si>
  <si>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</si>
  <si>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</si>
  <si>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</si>
  <si>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</si>
  <si>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</si>
  <si>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</si>
  <si>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</si>
  <si>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</si>
  <si>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</si>
  <si>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</si>
  <si>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</si>
  <si>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</si>
  <si>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</si>
  <si>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</si>
  <si>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</si>
  <si>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</si>
  <si>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</si>
  <si>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</si>
  <si>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</si>
  <si>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</si>
  <si>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</si>
  <si>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</si>
  <si>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</si>
  <si>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</si>
  <si>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</si>
  <si>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</si>
  <si>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</si>
  <si>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</si>
  <si>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</si>
  <si>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</si>
  <si>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</si>
  <si>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</si>
  <si>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</si>
  <si>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</si>
  <si>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</si>
  <si>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</si>
  <si>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</si>
  <si>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</si>
  <si>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</si>
  <si>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</si>
  <si>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</si>
  <si>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</si>
  <si>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</si>
  <si>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</si>
  <si>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</si>
  <si>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</si>
  <si>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</si>
  <si>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</si>
  <si>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</si>
  <si>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</si>
  <si>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</si>
  <si>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</si>
  <si>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</si>
  <si>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</si>
  <si>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</si>
  <si>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</si>
  <si>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</si>
  <si>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</si>
  <si>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</si>
  <si>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</si>
  <si>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</si>
  <si>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</si>
  <si>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</si>
  <si>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</si>
  <si>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</si>
  <si>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</si>
  <si>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</si>
  <si>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</si>
  <si>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</si>
  <si>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</si>
  <si>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</si>
  <si>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</si>
  <si>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</si>
  <si>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</si>
  <si>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</si>
  <si>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</si>
  <si>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</si>
  <si>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</si>
  <si>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</si>
  <si>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</si>
  <si>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</si>
  <si>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</si>
  <si>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</si>
  <si>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</si>
  <si>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</si>
  <si>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</si>
  <si>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</si>
  <si>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</si>
  <si>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</si>
  <si>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</si>
  <si>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</si>
  <si>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</si>
  <si>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</si>
  <si>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</si>
  <si>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</si>
  <si>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</si>
  <si>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</si>
  <si>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</si>
  <si>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</si>
  <si>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</si>
  <si>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</si>
  <si>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</si>
  <si>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</si>
  <si>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</si>
  <si>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</si>
  <si>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</si>
  <si>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</si>
  <si>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</si>
  <si>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</si>
  <si>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</si>
  <si>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</si>
  <si>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</si>
  <si>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</si>
  <si>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</si>
  <si>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</si>
  <si>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</si>
  <si>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</si>
  <si>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</si>
  <si>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</si>
  <si>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</si>
  <si>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</si>
  <si>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</si>
  <si>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</si>
  <si>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</si>
  <si>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</si>
  <si>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</si>
  <si>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</si>
  <si>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</si>
  <si>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</si>
  <si>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</si>
  <si>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</si>
  <si>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</si>
  <si>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</si>
  <si>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</si>
  <si>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</si>
  <si>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</si>
  <si>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</si>
  <si>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</si>
  <si>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</si>
  <si>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</si>
  <si>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</si>
  <si>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</si>
  <si>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</si>
  <si>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</si>
  <si>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</si>
  <si>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</si>
  <si>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</si>
  <si>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</si>
  <si>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</si>
  <si>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</si>
  <si>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</si>
  <si>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</si>
  <si>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</si>
  <si>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</si>
  <si>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</si>
  <si>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</si>
  <si>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</si>
  <si>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</si>
  <si>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</si>
  <si>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</si>
  <si>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</si>
  <si>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</si>
  <si>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</si>
  <si>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</si>
  <si>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</si>
  <si>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</si>
  <si>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</si>
  <si>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</si>
  <si>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</si>
  <si>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</si>
  <si>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</si>
  <si>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</si>
  <si>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</si>
  <si>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</si>
  <si>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</si>
  <si>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</si>
  <si>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</si>
  <si>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</si>
  <si>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</si>
  <si>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</si>
  <si>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</si>
  <si>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</si>
  <si>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</si>
  <si>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</si>
  <si>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</si>
  <si>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</si>
  <si>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</si>
  <si>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</si>
  <si>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</si>
  <si>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</si>
  <si>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</si>
  <si>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</si>
  <si>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</si>
  <si>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</si>
  <si>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</si>
  <si>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</si>
  <si>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</si>
  <si>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</si>
  <si>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</si>
  <si>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</si>
  <si>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</si>
  <si>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</si>
  <si>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</si>
  <si>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</si>
  <si>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</si>
  <si>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</si>
  <si>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</si>
  <si>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</si>
  <si>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</si>
  <si>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</si>
  <si>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</si>
  <si>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</si>
  <si>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</si>
  <si>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</si>
  <si>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</si>
  <si>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</si>
  <si>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</si>
  <si>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</si>
  <si>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</si>
  <si>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</si>
  <si>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</si>
  <si>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</si>
  <si>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</si>
  <si>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</si>
  <si>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</si>
  <si>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</si>
  <si>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</si>
  <si>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</si>
  <si>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</si>
  <si>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</si>
  <si>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</si>
  <si>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</si>
  <si>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</si>
  <si>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</si>
  <si>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</si>
  <si>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</si>
  <si>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</si>
  <si>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</si>
  <si>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</si>
  <si>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</si>
  <si>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</si>
  <si>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</si>
  <si>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</si>
  <si>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</si>
  <si>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</si>
  <si>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</si>
  <si>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</si>
  <si>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</si>
  <si>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</si>
  <si>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</si>
  <si>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</si>
  <si>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</si>
  <si>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</si>
  <si>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</si>
  <si>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</si>
  <si>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</si>
  <si>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</si>
  <si>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</si>
  <si>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</si>
  <si>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</si>
  <si>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</si>
  <si>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</si>
  <si>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</si>
  <si>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</si>
  <si>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</si>
  <si>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</si>
  <si>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</si>
  <si>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</si>
  <si>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</si>
  <si>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</si>
  <si>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</si>
  <si>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</si>
  <si>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</si>
  <si>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</si>
  <si>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</si>
  <si>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</si>
  <si>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</si>
  <si>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</si>
  <si>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</si>
  <si>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</si>
  <si>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</si>
  <si>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</si>
  <si>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</si>
  <si>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</si>
  <si>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</si>
  <si>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</si>
  <si>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</si>
  <si>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</si>
  <si>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</si>
  <si>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</si>
  <si>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</si>
  <si>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</si>
  <si>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</si>
  <si>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</si>
  <si>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</si>
  <si>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</si>
  <si>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</si>
  <si>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</si>
  <si>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</si>
  <si>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</si>
  <si>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</si>
  <si>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</si>
  <si>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</si>
  <si>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</si>
  <si>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</si>
  <si>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</si>
  <si>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</si>
  <si>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</si>
  <si>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</si>
  <si>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</si>
  <si>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</si>
  <si>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</si>
  <si>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</si>
  <si>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</si>
  <si>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</si>
  <si>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</si>
  <si>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</si>
  <si>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</si>
  <si>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</si>
  <si>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</si>
  <si>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</si>
  <si>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</si>
  <si>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</si>
  <si>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</si>
  <si>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</si>
  <si>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</si>
  <si>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</si>
  <si>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</si>
  <si>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</si>
  <si>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</si>
  <si>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</si>
  <si>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</si>
  <si>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</si>
  <si>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</si>
  <si>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</si>
  <si>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</si>
  <si>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</si>
  <si>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</si>
  <si>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</si>
  <si>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</si>
  <si>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</si>
  <si>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</si>
  <si>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</si>
  <si>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</si>
  <si>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</si>
  <si>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</si>
  <si>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</si>
  <si>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</si>
  <si>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</si>
  <si>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</si>
  <si>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</si>
  <si>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</si>
  <si>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</si>
  <si>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</si>
  <si>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</si>
  <si>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</si>
  <si>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</si>
  <si>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</si>
  <si>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</si>
  <si>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</si>
  <si>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</si>
  <si>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</si>
  <si>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</si>
  <si>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</si>
  <si>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</si>
  <si>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</si>
  <si>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</si>
  <si>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</si>
  <si>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</si>
  <si>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</si>
  <si>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</si>
  <si>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</si>
  <si>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</si>
  <si>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</si>
  <si>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</si>
  <si>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</si>
  <si>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</si>
  <si>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</si>
  <si>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</si>
  <si>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</si>
  <si>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</si>
  <si>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</si>
  <si>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</si>
  <si>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</si>
  <si>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</si>
  <si>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</si>
  <si>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</si>
  <si>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</si>
  <si>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</si>
  <si>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</si>
  <si>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</si>
  <si>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</si>
  <si>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</si>
  <si>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</si>
  <si>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</si>
  <si>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</si>
  <si>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</si>
  <si>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</si>
  <si>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</si>
  <si>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</si>
  <si>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</si>
  <si>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</si>
  <si>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</si>
  <si>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</si>
  <si>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</si>
  <si>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</si>
  <si>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</si>
  <si>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</si>
  <si>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</si>
  <si>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</si>
  <si>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</si>
  <si>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</si>
  <si>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</si>
  <si>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</si>
  <si>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</si>
  <si>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</si>
  <si>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</si>
  <si>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</si>
  <si>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</si>
  <si>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</si>
  <si>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</si>
  <si>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</si>
  <si>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</si>
  <si>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</si>
  <si>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</si>
  <si>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</si>
  <si>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</si>
  <si>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</si>
  <si>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</si>
  <si>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</si>
  <si>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</si>
  <si>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</si>
  <si>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</si>
  <si>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</si>
  <si>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</si>
  <si>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</si>
  <si>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</si>
  <si>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</si>
  <si>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</si>
  <si>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</si>
  <si>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</si>
  <si>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</si>
  <si>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</si>
  <si>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</si>
  <si>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</si>
  <si>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</si>
  <si>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</si>
  <si>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</si>
  <si>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</si>
  <si>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</si>
  <si>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</si>
  <si>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</si>
  <si>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</si>
  <si>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</si>
  <si>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</si>
  <si>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</si>
  <si>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</si>
  <si>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</si>
  <si>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</si>
  <si>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</si>
  <si>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</si>
  <si>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</si>
  <si>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</si>
  <si>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</si>
  <si>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</si>
  <si>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</si>
  <si>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</si>
  <si>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</si>
  <si>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</si>
  <si>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</si>
  <si>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</si>
  <si>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</si>
  <si>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</si>
  <si>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</si>
  <si>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</si>
  <si>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</si>
  <si>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</si>
  <si>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</si>
  <si>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</si>
  <si>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</si>
  <si>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</si>
  <si>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</si>
  <si>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</si>
  <si>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</si>
  <si>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</si>
  <si>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</si>
  <si>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</si>
  <si>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</si>
  <si>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</si>
  <si>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</si>
  <si>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</si>
  <si>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</si>
  <si>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</si>
  <si>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</si>
  <si>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</si>
  <si>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</si>
  <si>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</si>
  <si>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</si>
  <si>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</si>
  <si>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</si>
  <si>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</si>
  <si>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</si>
  <si>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</si>
  <si>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</si>
  <si>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</si>
  <si>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</si>
  <si>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</si>
  <si>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</si>
  <si>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</si>
  <si>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</si>
  <si>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</si>
  <si>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</si>
  <si>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</si>
  <si>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</si>
  <si>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</si>
  <si>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</si>
  <si>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</si>
  <si>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</si>
  <si>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</si>
  <si>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</si>
  <si>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</si>
  <si>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</si>
  <si>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</si>
  <si>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</si>
  <si>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</si>
  <si>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</si>
  <si>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</si>
  <si>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</si>
  <si>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</si>
  <si>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</si>
  <si>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</si>
  <si>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</si>
  <si>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</si>
  <si>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</si>
  <si>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</si>
  <si>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</si>
  <si>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</si>
  <si>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</si>
  <si>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</si>
  <si>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</si>
  <si>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</si>
  <si>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</si>
  <si>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</si>
  <si>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</si>
  <si>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</si>
  <si>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</si>
  <si>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</si>
  <si>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</si>
  <si>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</si>
  <si>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</si>
  <si>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</si>
  <si>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</si>
  <si>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</si>
  <si>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</si>
  <si>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</si>
  <si>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</si>
  <si>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</si>
  <si>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</si>
  <si>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</si>
  <si>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</si>
  <si>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</si>
  <si>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</si>
  <si>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</si>
  <si>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</si>
  <si>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</si>
  <si>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</si>
  <si>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</si>
  <si>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</si>
  <si>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</si>
  <si>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</si>
  <si>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</si>
  <si>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</si>
  <si>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</si>
  <si>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</si>
  <si>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</si>
  <si>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</si>
  <si>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</si>
  <si>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</si>
  <si>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</si>
  <si>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</si>
  <si>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</si>
  <si>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</si>
  <si>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</si>
  <si>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</si>
  <si>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</si>
  <si>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</si>
  <si>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</si>
  <si>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</si>
  <si>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</si>
  <si>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</si>
  <si>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</si>
  <si>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</si>
  <si>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</si>
  <si>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</si>
  <si>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</si>
  <si>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</si>
  <si>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</si>
  <si>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</si>
  <si>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</si>
  <si>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</si>
  <si>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</si>
  <si>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</si>
  <si>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</si>
  <si>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</si>
  <si>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</si>
  <si>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</si>
  <si>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</si>
  <si>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</si>
  <si>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</si>
  <si>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</si>
  <si>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</si>
  <si>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</si>
  <si>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</si>
  <si>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</si>
  <si>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</si>
  <si>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</si>
  <si>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</si>
  <si>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</si>
  <si>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</si>
  <si>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</si>
  <si>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</si>
  <si>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</si>
  <si>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</si>
  <si>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</si>
  <si>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</si>
  <si>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</si>
  <si>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</si>
  <si>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</si>
  <si>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</si>
  <si>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</si>
  <si>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</si>
  <si>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</si>
  <si>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</si>
  <si>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</si>
  <si>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</si>
  <si>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</si>
  <si>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</si>
  <si>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</si>
  <si>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</si>
  <si>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</si>
  <si>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</si>
  <si>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</si>
  <si>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</si>
  <si>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</si>
  <si>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</si>
  <si>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</si>
  <si>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</si>
  <si>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</si>
  <si>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</si>
  <si>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</si>
  <si>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</si>
  <si>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</si>
  <si>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</si>
  <si>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</si>
  <si>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</si>
  <si>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</si>
  <si>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</si>
  <si>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</si>
  <si>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</si>
  <si>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</si>
  <si>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</si>
  <si>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</si>
  <si>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</si>
  <si>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</si>
  <si>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</si>
  <si>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</si>
  <si>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</si>
  <si>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</si>
  <si>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</si>
  <si>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</si>
  <si>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</si>
  <si>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</si>
  <si>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</si>
  <si>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</si>
  <si>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</si>
  <si>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</si>
  <si>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</si>
  <si>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</si>
  <si>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</si>
  <si>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</si>
  <si>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</si>
  <si>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</si>
  <si>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</si>
  <si>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</si>
  <si>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</si>
  <si>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</si>
  <si>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</si>
  <si>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</si>
  <si>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</si>
  <si>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</si>
  <si>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</si>
  <si>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</si>
  <si>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</si>
  <si>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</si>
  <si>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</si>
  <si>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</si>
  <si>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</si>
  <si>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</si>
  <si>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</si>
  <si>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</si>
  <si>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</si>
  <si>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</si>
  <si>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</si>
  <si>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</si>
  <si>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</si>
  <si>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</si>
  <si>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</si>
  <si>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</si>
  <si>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</si>
  <si>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</si>
  <si>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</si>
  <si>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</si>
  <si>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</si>
  <si>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</si>
  <si>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</si>
  <si>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</si>
  <si>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</si>
  <si>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</si>
  <si>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</si>
  <si>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</si>
  <si>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</si>
  <si>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</si>
  <si>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</si>
  <si>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</si>
  <si>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</si>
  <si>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</si>
  <si>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</si>
  <si>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</si>
  <si>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</si>
  <si>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</si>
  <si>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</si>
  <si>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</si>
  <si>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</si>
  <si>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</si>
  <si>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</si>
  <si>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</si>
  <si>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</si>
  <si>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</si>
  <si>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</si>
  <si>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</si>
  <si>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</si>
  <si>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</si>
  <si>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</si>
  <si>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</si>
  <si>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</si>
  <si>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</si>
  <si>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</si>
  <si>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</si>
  <si>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</si>
  <si>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</si>
  <si>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</si>
  <si>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</si>
  <si>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</si>
  <si>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</si>
  <si>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</si>
  <si>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</si>
  <si>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</si>
  <si>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</si>
  <si>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</si>
  <si>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</si>
  <si>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</si>
  <si>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</si>
  <si>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</si>
  <si>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</si>
  <si>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</si>
  <si>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</si>
  <si>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</si>
  <si>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</si>
  <si>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</si>
  <si>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</si>
  <si>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</si>
  <si>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</si>
  <si>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</si>
  <si>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</si>
  <si>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</si>
  <si>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</si>
  <si>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</si>
  <si>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</si>
  <si>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</si>
  <si>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</si>
  <si>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</si>
  <si>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</si>
  <si>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</si>
  <si>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</si>
  <si>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</si>
  <si>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</si>
  <si>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</si>
  <si>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</si>
  <si>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</si>
  <si>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</si>
  <si>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</si>
  <si>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</si>
  <si>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</si>
  <si>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</si>
  <si>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</si>
  <si>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</si>
  <si>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</si>
  <si>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</si>
  <si>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</si>
  <si>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</si>
  <si>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</si>
  <si>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</si>
  <si>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</si>
  <si>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</si>
  <si>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</si>
  <si>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</si>
  <si>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</si>
  <si>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</si>
  <si>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</si>
  <si>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</si>
  <si>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</si>
  <si>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</si>
  <si>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</si>
  <si>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</si>
  <si>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</si>
  <si>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</si>
  <si>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</si>
  <si>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</si>
  <si>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</si>
  <si>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</si>
  <si>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</si>
  <si>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</si>
  <si>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</si>
  <si>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</si>
  <si>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</si>
  <si>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</si>
  <si>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</si>
  <si>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</si>
  <si>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</si>
  <si>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</si>
  <si>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</si>
  <si>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</si>
  <si>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</si>
  <si>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</si>
  <si>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</si>
  <si>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</si>
  <si>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</si>
  <si>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</si>
  <si>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</si>
  <si>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</si>
  <si>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</si>
  <si>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</si>
  <si>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</si>
  <si>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</si>
  <si>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</si>
  <si>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</si>
  <si>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</si>
  <si>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</si>
  <si>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</si>
  <si>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</si>
  <si>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</si>
  <si>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</si>
  <si>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</si>
  <si>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</si>
  <si>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</si>
  <si>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</si>
  <si>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</si>
  <si>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</si>
  <si>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</si>
  <si>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</si>
  <si>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</si>
  <si>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</si>
  <si>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</si>
  <si>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</si>
  <si>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</si>
  <si>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</si>
  <si>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</si>
  <si>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</si>
  <si>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</si>
  <si>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</si>
  <si>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</si>
  <si>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</si>
  <si>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</si>
  <si>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</si>
  <si>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</si>
  <si>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</si>
  <si>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</si>
  <si>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</si>
  <si>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</si>
  <si>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</si>
  <si>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</si>
  <si>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</si>
  <si>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</si>
  <si>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</si>
  <si>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</si>
  <si>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</si>
  <si>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</si>
  <si>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</si>
  <si>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</si>
  <si>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</si>
  <si>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</si>
  <si>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</si>
  <si>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</si>
  <si>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</si>
  <si>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</si>
  <si>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</si>
  <si>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</si>
  <si>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</si>
  <si>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</si>
  <si>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</si>
  <si>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</si>
  <si>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</si>
  <si>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</si>
  <si>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</si>
  <si>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</si>
  <si>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</si>
  <si>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</si>
  <si>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</si>
  <si>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</si>
  <si>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</si>
  <si>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</si>
  <si>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</si>
  <si>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</si>
  <si>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</si>
  <si>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</si>
  <si>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</si>
  <si>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</si>
  <si>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</si>
  <si>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</si>
  <si>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</si>
  <si>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</si>
  <si>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</si>
  <si>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</si>
  <si>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</si>
  <si>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</si>
  <si>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</si>
  <si>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</si>
  <si>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</si>
  <si>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</si>
  <si>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</si>
  <si>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</si>
  <si>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</si>
  <si>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</si>
  <si>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</si>
  <si>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</si>
  <si>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</si>
  <si>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</si>
  <si>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</si>
  <si>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</si>
  <si>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</si>
  <si>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</si>
  <si>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</si>
  <si>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</si>
  <si>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</si>
  <si>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</si>
  <si>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</si>
  <si>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</si>
  <si>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</si>
  <si>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</si>
  <si>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</si>
  <si>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</si>
  <si>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</si>
  <si>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</si>
  <si>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</si>
  <si>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</si>
  <si>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</si>
  <si>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</si>
  <si>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</si>
  <si>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</si>
  <si>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</si>
  <si>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</si>
  <si>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</si>
  <si>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</si>
  <si>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</si>
  <si>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</si>
  <si>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</si>
  <si>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</si>
  <si>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</si>
  <si>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</si>
  <si>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</si>
  <si>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</si>
  <si>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</si>
  <si>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</si>
  <si>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</si>
  <si>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</si>
  <si>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</si>
  <si>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</si>
  <si>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</si>
  <si>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</si>
  <si>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</si>
  <si>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</si>
  <si>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</si>
  <si>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</si>
  <si>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</si>
  <si>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</si>
  <si>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</si>
  <si>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</si>
  <si>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</si>
  <si>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</si>
  <si>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</si>
  <si>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</si>
  <si>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</si>
  <si>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</si>
  <si>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</si>
  <si>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</si>
  <si>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</si>
  <si>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</si>
  <si>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</si>
  <si>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</si>
  <si>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</si>
  <si>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</si>
  <si>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</si>
  <si>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</si>
  <si>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</si>
  <si>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</si>
  <si>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</si>
  <si>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</si>
  <si>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</si>
  <si>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</si>
  <si>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</si>
  <si>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</si>
  <si>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</si>
  <si>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</si>
  <si>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</si>
  <si>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</si>
  <si>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</si>
  <si>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</si>
  <si>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</si>
  <si>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</si>
  <si>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</si>
  <si>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</si>
  <si>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</si>
  <si>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</si>
  <si>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</si>
  <si>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</si>
  <si>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</si>
  <si>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</si>
  <si>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</si>
  <si>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</si>
  <si>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</si>
  <si>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</si>
  <si>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</si>
  <si>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</si>
  <si>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</si>
  <si>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</si>
  <si>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</si>
  <si>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</si>
  <si>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</si>
  <si>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</si>
  <si>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</si>
  <si>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</si>
  <si>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</si>
  <si>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</si>
  <si>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</si>
  <si>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</si>
  <si>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</si>
  <si>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</si>
  <si>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</si>
  <si>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</si>
  <si>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</si>
  <si>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</si>
  <si>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</si>
  <si>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</si>
  <si>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</si>
  <si>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</si>
  <si>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</si>
  <si>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</si>
  <si>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</si>
  <si>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</si>
  <si>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</si>
  <si>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</si>
  <si>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</si>
  <si>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</si>
  <si>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</si>
  <si>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</si>
  <si>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</si>
  <si>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</si>
  <si>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</si>
  <si>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</si>
  <si>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</si>
  <si>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</si>
  <si>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</si>
  <si>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</si>
  <si>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</si>
  <si>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</si>
  <si>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</si>
  <si>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</si>
  <si>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</si>
  <si>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</si>
  <si>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</si>
  <si>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</si>
  <si>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</si>
  <si>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</si>
  <si>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</si>
  <si>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</si>
  <si>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</si>
  <si>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</si>
  <si>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</si>
  <si>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</si>
  <si>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</si>
  <si>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</si>
  <si>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</si>
  <si>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</si>
  <si>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</si>
  <si>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</si>
  <si>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</si>
  <si>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</si>
  <si>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</si>
  <si>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</si>
  <si>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</si>
  <si>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</si>
  <si>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</si>
  <si>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</si>
  <si>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</si>
  <si>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</si>
  <si>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</si>
  <si>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</si>
  <si>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</si>
  <si>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</si>
  <si>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</si>
  <si>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</si>
  <si>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</si>
  <si>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</si>
  <si>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</si>
  <si>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</si>
  <si>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</si>
  <si>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</si>
  <si>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</si>
  <si>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</si>
  <si>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</si>
  <si>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</si>
  <si>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</si>
  <si>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</si>
  <si>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</si>
  <si>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</si>
  <si>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</si>
  <si>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</si>
  <si>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</si>
  <si>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</si>
  <si>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</si>
  <si>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</si>
  <si>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</si>
  <si>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</si>
  <si>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</si>
  <si>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</si>
  <si>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</si>
  <si>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</si>
  <si>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</si>
  <si>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</si>
  <si>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</si>
  <si>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</si>
  <si>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</si>
  <si>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</si>
  <si>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</si>
  <si>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</si>
  <si>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</si>
  <si>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</si>
  <si>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</si>
  <si>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</si>
  <si>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</si>
  <si>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</si>
  <si>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</si>
  <si>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</si>
  <si>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</si>
  <si>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</si>
  <si>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</si>
  <si>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</si>
  <si>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</si>
  <si>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</si>
  <si>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</si>
  <si>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</si>
  <si>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</si>
  <si>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</si>
  <si>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</si>
  <si>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</si>
  <si>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</si>
  <si>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</si>
  <si>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</si>
  <si>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</si>
  <si>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</si>
  <si>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</si>
  <si>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</si>
  <si>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</si>
  <si>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</si>
  <si>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</si>
  <si>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</si>
  <si>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</si>
  <si>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</si>
  <si>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</si>
  <si>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</si>
  <si>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</si>
  <si>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</si>
  <si>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</si>
  <si>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</si>
  <si>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</si>
  <si>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</si>
  <si>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</si>
  <si>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</si>
  <si>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</si>
  <si>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</si>
  <si>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</si>
  <si>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</si>
  <si>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</si>
  <si>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</si>
  <si>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</si>
  <si>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</si>
  <si>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</si>
  <si>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</si>
  <si>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</si>
  <si>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</si>
  <si>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</si>
  <si>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</si>
  <si>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</si>
  <si>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</si>
  <si>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</si>
  <si>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</si>
  <si>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</si>
  <si>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</si>
  <si>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</si>
  <si>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</si>
  <si>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</si>
  <si>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</si>
  <si>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</si>
  <si>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</si>
  <si>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</si>
  <si>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</si>
  <si>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</si>
  <si>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</si>
  <si>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</si>
  <si>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</si>
  <si>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</si>
  <si>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</si>
  <si>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</si>
  <si>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</si>
  <si>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</si>
  <si>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</si>
  <si>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</si>
  <si>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</si>
  <si>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</si>
  <si>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</si>
  <si>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</si>
  <si>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</si>
  <si>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</si>
  <si>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</si>
  <si>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</si>
  <si>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</si>
  <si>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</si>
  <si>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</si>
  <si>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</si>
  <si>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</si>
  <si>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</si>
  <si>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</si>
  <si>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</si>
  <si>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</si>
  <si>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</si>
  <si>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</si>
  <si>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</si>
  <si>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</si>
  <si>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</si>
  <si>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</si>
  <si>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</si>
  <si>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</si>
  <si>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</si>
  <si>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</si>
  <si>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</si>
  <si>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</si>
  <si>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</si>
  <si>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</si>
  <si>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</si>
  <si>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</si>
  <si>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</si>
  <si>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</si>
  <si>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</si>
  <si>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</si>
  <si>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</si>
  <si>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</si>
  <si>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</si>
  <si>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</si>
  <si>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</si>
  <si>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</si>
  <si>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</si>
  <si>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</si>
  <si>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</si>
  <si>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</si>
  <si>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</si>
  <si>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</si>
  <si>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</si>
  <si>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</si>
  <si>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</si>
  <si>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</si>
  <si>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</si>
  <si>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</si>
  <si>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</si>
  <si>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</si>
  <si>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</si>
  <si>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</si>
  <si>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</si>
  <si>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</si>
  <si>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</si>
  <si>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</si>
  <si>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</si>
  <si>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</si>
  <si>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</si>
  <si>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</si>
  <si>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</si>
  <si>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</si>
  <si>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</si>
  <si>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</si>
  <si>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</si>
  <si>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</si>
  <si>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</si>
  <si>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</si>
  <si>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</si>
  <si>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</si>
  <si>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</si>
  <si>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</si>
  <si>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</si>
  <si>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</si>
  <si>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</si>
  <si>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</si>
  <si>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</si>
  <si>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</si>
  <si>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</si>
  <si>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</si>
  <si>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</si>
  <si>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</si>
  <si>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</si>
  <si>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</si>
  <si>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</si>
  <si>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</si>
  <si>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</si>
  <si>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</si>
  <si>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</si>
  <si>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</si>
  <si>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</si>
  <si>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</si>
  <si>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</si>
  <si>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</si>
  <si>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</si>
  <si>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</si>
  <si>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</si>
  <si>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</si>
  <si>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</si>
  <si>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</si>
  <si>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</si>
  <si>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</si>
  <si>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</si>
  <si>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</si>
  <si>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</si>
  <si>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</si>
  <si>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</si>
  <si>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</si>
  <si>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</si>
  <si>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</si>
  <si>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</si>
  <si>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</si>
  <si>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</si>
  <si>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</si>
  <si>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</si>
  <si>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</si>
  <si>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</si>
  <si>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</si>
  <si>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</si>
  <si>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</si>
  <si>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</si>
  <si>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</si>
  <si>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</si>
  <si>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</si>
  <si>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</si>
  <si>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</si>
  <si>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</si>
  <si>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</si>
  <si>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</si>
  <si>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</si>
  <si>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</si>
  <si>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</si>
  <si>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</si>
  <si>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</si>
  <si>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</si>
  <si>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</si>
  <si>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</si>
  <si>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</si>
  <si>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</si>
  <si>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</si>
  <si>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</si>
  <si>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</si>
  <si>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</si>
  <si>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</si>
  <si>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</si>
  <si>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</si>
  <si>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</si>
  <si>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</si>
  <si>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</si>
  <si>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</si>
  <si>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</si>
  <si>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</si>
  <si>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</si>
  <si>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</si>
  <si>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</si>
  <si>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</si>
  <si>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</si>
  <si>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</si>
  <si>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</si>
  <si>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</si>
  <si>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</si>
  <si>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</si>
  <si>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</si>
  <si>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</si>
  <si>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</si>
  <si>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</si>
  <si>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</si>
  <si>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</si>
  <si>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</si>
  <si>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</si>
  <si>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</si>
  <si>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</si>
  <si>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</si>
  <si>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</si>
  <si>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</si>
  <si>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</si>
  <si>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</si>
  <si>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</si>
  <si>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</si>
  <si>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</si>
  <si>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</si>
  <si>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</si>
  <si>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</si>
  <si>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</si>
  <si>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</si>
  <si>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</si>
  <si>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</si>
  <si>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</si>
  <si>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</si>
  <si>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</si>
  <si>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</si>
  <si>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</si>
  <si>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</si>
  <si>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</si>
  <si>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</si>
  <si>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</si>
  <si>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</si>
  <si>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</si>
  <si>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</si>
  <si>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</si>
  <si>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</si>
  <si>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</si>
  <si>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</si>
  <si>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</si>
  <si>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</si>
  <si>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</si>
  <si>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</si>
  <si>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</si>
  <si>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</si>
  <si>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</si>
  <si>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</si>
  <si>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</si>
  <si>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</si>
  <si>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</si>
  <si>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</si>
  <si>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</si>
  <si>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</si>
  <si>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</si>
  <si>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</si>
  <si>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</si>
  <si>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</si>
  <si>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</si>
  <si>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</si>
  <si>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</si>
  <si>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</si>
  <si>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</si>
  <si>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</si>
  <si>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</si>
  <si>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</si>
  <si>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</si>
  <si>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</si>
  <si>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</si>
  <si>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</si>
  <si>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</si>
  <si>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</si>
  <si>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</si>
  <si>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</si>
  <si>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</si>
  <si>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</si>
  <si>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</si>
  <si>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</si>
  <si>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</si>
  <si>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</si>
  <si>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</si>
  <si>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</si>
  <si>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</si>
  <si>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</si>
  <si>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</si>
  <si>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</si>
  <si>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</si>
  <si>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</si>
  <si>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</si>
  <si>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</si>
  <si>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</si>
  <si>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</si>
  <si>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</si>
  <si>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</si>
  <si>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</si>
  <si>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</si>
  <si>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</si>
  <si>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</si>
  <si>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</si>
  <si>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</si>
  <si>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</si>
  <si>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</si>
  <si>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</si>
  <si>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</si>
  <si>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</si>
  <si>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</si>
  <si>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</si>
  <si>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</si>
  <si>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</si>
  <si>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</si>
  <si>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</si>
  <si>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</si>
  <si>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</si>
  <si>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</si>
  <si>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</si>
  <si>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</si>
  <si>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</si>
  <si>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</si>
  <si>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</si>
  <si>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</si>
  <si>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</si>
  <si>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</si>
  <si>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</si>
  <si>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</si>
  <si>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</si>
  <si>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</si>
  <si>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</si>
  <si>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</si>
  <si>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</si>
  <si>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</si>
  <si>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</si>
  <si>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</si>
  <si>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</si>
  <si>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</si>
  <si>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</si>
  <si>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</si>
  <si>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</si>
  <si>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</si>
  <si>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</si>
  <si>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</si>
  <si>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</si>
  <si>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</si>
  <si>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</si>
  <si>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</si>
  <si>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</si>
  <si>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</si>
  <si>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</si>
  <si>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</si>
  <si>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</si>
  <si>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</si>
  <si>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</si>
  <si>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</si>
  <si>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</si>
  <si>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</si>
  <si>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</si>
  <si>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</si>
  <si>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</si>
  <si>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</si>
  <si>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</si>
  <si>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</si>
  <si>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</si>
  <si>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</si>
  <si>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</si>
  <si>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</si>
  <si>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</si>
  <si>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</si>
  <si>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</si>
  <si>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</si>
  <si>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</si>
  <si>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</si>
  <si>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</si>
  <si>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</si>
  <si>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</si>
  <si>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</si>
  <si>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</si>
  <si>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</si>
  <si>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</si>
  <si>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</si>
  <si>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</si>
  <si>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</si>
  <si>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</si>
  <si>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</si>
  <si>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</si>
  <si>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</si>
  <si>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</si>
  <si>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</si>
  <si>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</si>
  <si>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</si>
  <si>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</si>
  <si>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</si>
  <si>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</si>
  <si>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</si>
  <si>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</si>
  <si>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</si>
  <si>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</si>
  <si>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</si>
  <si>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</si>
  <si>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</si>
  <si>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</si>
  <si>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</si>
  <si>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</si>
  <si>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</si>
  <si>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</si>
  <si>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</si>
  <si>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</si>
  <si>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</si>
  <si>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</si>
  <si>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</si>
  <si>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</si>
  <si>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</si>
  <si>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</si>
  <si>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</si>
  <si>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</si>
  <si>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</si>
  <si>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</si>
  <si>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</si>
  <si>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</si>
  <si>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</si>
  <si>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</si>
  <si>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</si>
  <si>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</si>
  <si>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</si>
  <si>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</si>
  <si>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</si>
  <si>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</si>
  <si>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</si>
  <si>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</si>
  <si>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</si>
  <si>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</si>
  <si>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</si>
  <si>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</si>
  <si>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</si>
  <si>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</si>
  <si>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</si>
  <si>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</si>
  <si>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</si>
  <si>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</si>
  <si>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</si>
  <si>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</si>
  <si>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</si>
  <si>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</si>
  <si>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</si>
  <si>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</si>
  <si>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</si>
  <si>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</si>
  <si>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</si>
  <si>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</si>
  <si>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</si>
  <si>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</si>
  <si>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</si>
  <si>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</si>
  <si>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</si>
  <si>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</si>
  <si>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</si>
  <si>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</si>
  <si>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</si>
  <si>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</si>
  <si>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</si>
  <si>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</si>
  <si>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</si>
  <si>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</si>
  <si>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</si>
  <si>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</si>
  <si>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</si>
  <si>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</si>
  <si>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</si>
  <si>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</si>
  <si>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</si>
  <si>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</si>
  <si>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</si>
  <si>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</si>
  <si>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</si>
  <si>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</si>
  <si>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</si>
  <si>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</si>
  <si>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</si>
  <si>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</si>
  <si>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</si>
  <si>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</si>
  <si>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</si>
  <si>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</si>
  <si>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</si>
  <si>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</si>
  <si>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</si>
  <si>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</si>
  <si>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</si>
  <si>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</si>
  <si>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</si>
  <si>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</si>
  <si>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</si>
  <si>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</si>
  <si>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</si>
  <si>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</si>
  <si>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</si>
  <si>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</si>
  <si>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</si>
  <si>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</si>
  <si>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</si>
  <si>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</si>
  <si>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</si>
  <si>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</si>
  <si>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</si>
  <si>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</si>
  <si>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</si>
  <si>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</si>
  <si>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</si>
  <si>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</si>
  <si>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</si>
  <si>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</si>
  <si>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</si>
  <si>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</si>
  <si>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</si>
  <si>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</si>
  <si>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</si>
  <si>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</si>
  <si>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</si>
  <si>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</si>
  <si>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</si>
  <si>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</si>
  <si>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</si>
  <si>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</si>
  <si>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</si>
  <si>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</si>
  <si>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</si>
  <si>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</si>
  <si>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</si>
  <si>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</si>
  <si>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</si>
  <si>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</si>
  <si>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</si>
  <si>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</si>
  <si>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</si>
  <si>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</si>
  <si>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</si>
  <si>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</si>
  <si>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</si>
  <si>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</si>
  <si>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</si>
  <si>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</si>
  <si>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</si>
  <si>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</si>
  <si>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</si>
  <si>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</si>
  <si>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</si>
  <si>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</si>
  <si>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</si>
  <si>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</si>
  <si>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</si>
  <si>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</si>
  <si>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</si>
  <si>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</si>
  <si>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</si>
  <si>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</si>
  <si>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</si>
  <si>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</si>
  <si>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</si>
  <si>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</si>
  <si>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</si>
  <si>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</si>
  <si>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</si>
  <si>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</si>
  <si>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</si>
  <si>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</si>
  <si>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</si>
  <si>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</si>
  <si>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</si>
  <si>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</si>
  <si>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</si>
  <si>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</si>
  <si>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</si>
  <si>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</si>
  <si>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</si>
  <si>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</si>
  <si>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</si>
  <si>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</si>
  <si>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</si>
  <si>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</si>
  <si>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</si>
  <si>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</si>
  <si>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</si>
  <si>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</si>
  <si>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</si>
  <si>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</si>
  <si>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</si>
  <si>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</si>
  <si>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</si>
  <si>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</si>
  <si>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</si>
  <si>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</si>
  <si>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</si>
  <si>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</si>
  <si>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</si>
  <si>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</si>
  <si>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</si>
  <si>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</si>
  <si>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</si>
  <si>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</si>
  <si>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</si>
  <si>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</si>
  <si>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</si>
  <si>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</si>
  <si>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</si>
  <si>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</si>
  <si>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</si>
  <si>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</si>
  <si>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</si>
  <si>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</si>
  <si>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</si>
  <si>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</si>
  <si>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</si>
  <si>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</si>
  <si>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</si>
  <si>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</si>
  <si>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</si>
  <si>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</si>
  <si>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</si>
  <si>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</si>
  <si>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</si>
  <si>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</si>
  <si>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</si>
  <si>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</si>
  <si>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</si>
  <si>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</si>
  <si>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</si>
  <si>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</si>
  <si>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</si>
  <si>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</si>
  <si>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</si>
  <si>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</si>
  <si>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</si>
  <si>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</si>
  <si>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</si>
  <si>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</si>
  <si>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</si>
  <si>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</si>
  <si>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</si>
  <si>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</si>
  <si>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</si>
  <si>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</si>
  <si>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</si>
  <si>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</si>
  <si>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</si>
  <si>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</si>
  <si>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</si>
  <si>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</si>
  <si>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</si>
  <si>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</si>
  <si>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</si>
  <si>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</si>
  <si>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</si>
  <si>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</si>
  <si>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</si>
  <si>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</si>
  <si>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</si>
  <si>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</si>
  <si>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</si>
  <si>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</si>
  <si>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</si>
  <si>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</si>
  <si>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</si>
  <si>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</si>
  <si>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</si>
  <si>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</si>
  <si>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</si>
  <si>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</si>
  <si>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</si>
  <si>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</si>
  <si>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</si>
  <si>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</si>
  <si>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</si>
  <si>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</si>
  <si>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</si>
  <si>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</si>
  <si>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</si>
  <si>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</si>
  <si>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</si>
  <si>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</si>
  <si>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</si>
  <si>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</si>
  <si>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</si>
  <si>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</si>
  <si>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</si>
  <si>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</si>
  <si>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</si>
  <si>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</si>
  <si>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</si>
  <si>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</si>
  <si>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</si>
  <si>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</si>
  <si>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</si>
  <si>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</si>
  <si>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</si>
  <si>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</si>
  <si>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</si>
  <si>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</si>
  <si>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</si>
  <si>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</si>
  <si>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</si>
  <si>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</si>
  <si>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</si>
  <si>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</si>
  <si>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</si>
  <si>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</si>
  <si>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</si>
  <si>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</si>
  <si>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</si>
  <si>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</si>
  <si>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</si>
  <si>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</si>
  <si>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</si>
  <si>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</si>
  <si>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</si>
  <si>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</si>
  <si>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</si>
  <si>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</si>
  <si>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</si>
  <si>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</si>
  <si>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</si>
  <si>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</si>
  <si>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</si>
  <si>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</si>
  <si>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</si>
  <si>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</si>
  <si>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</si>
  <si>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</si>
  <si>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</si>
  <si>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</si>
  <si>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</si>
  <si>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</si>
  <si>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</si>
  <si>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</si>
  <si>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</si>
  <si>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</si>
  <si>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</si>
  <si>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</si>
  <si>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</si>
  <si>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</si>
  <si>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</si>
  <si>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</si>
  <si>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</si>
  <si>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</si>
  <si>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</si>
  <si>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</si>
  <si>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</si>
  <si>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</si>
  <si>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</si>
  <si>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</si>
  <si>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</si>
  <si>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</si>
  <si>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</si>
  <si>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</si>
  <si>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</si>
  <si>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</si>
  <si>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</si>
  <si>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</si>
  <si>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</si>
  <si>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</si>
  <si>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</si>
  <si>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</si>
  <si>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</si>
  <si>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</si>
  <si>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</si>
  <si>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</si>
  <si>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</si>
  <si>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</si>
  <si>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</si>
  <si>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</si>
  <si>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</si>
  <si>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</si>
  <si>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</si>
  <si>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</si>
  <si>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</si>
  <si>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</si>
  <si>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</si>
  <si>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</si>
  <si>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</si>
  <si>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</si>
  <si>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</si>
  <si>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</si>
  <si>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</si>
  <si>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</si>
  <si>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</si>
  <si>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</si>
  <si>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</si>
  <si>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</si>
  <si>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</si>
  <si>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</si>
  <si>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</si>
  <si>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</si>
  <si>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</si>
  <si>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</si>
  <si>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</si>
  <si>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</si>
  <si>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</si>
  <si>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</si>
  <si>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</si>
  <si>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</si>
  <si>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</si>
  <si>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</si>
  <si>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</si>
  <si>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</si>
  <si>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</si>
  <si>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</si>
  <si>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</si>
  <si>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</si>
  <si>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</si>
  <si>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</si>
  <si>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</si>
  <si>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</si>
  <si>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</si>
  <si>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</si>
  <si>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</si>
  <si>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</si>
  <si>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</si>
  <si>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</si>
  <si>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</si>
  <si>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</si>
  <si>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</si>
  <si>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</si>
  <si>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</si>
  <si>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</si>
  <si>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</si>
  <si>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</si>
  <si>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</si>
  <si>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</si>
  <si>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</si>
  <si>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</si>
  <si>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</si>
  <si>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</si>
  <si>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</si>
  <si>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</si>
  <si>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</si>
  <si>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</si>
  <si>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</si>
  <si>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</si>
  <si>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</si>
  <si>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</si>
  <si>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</si>
  <si>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</si>
  <si>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</si>
  <si>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</si>
  <si>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</si>
  <si>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</si>
  <si>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</si>
  <si>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</si>
  <si>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</si>
  <si>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</si>
  <si>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</si>
  <si>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</si>
  <si>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</si>
  <si>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</si>
  <si>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</si>
  <si>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</si>
  <si>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</si>
  <si>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</si>
  <si>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</si>
  <si>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</si>
  <si>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</si>
  <si>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</si>
  <si>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</si>
  <si>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</si>
  <si>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</si>
  <si>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</si>
  <si>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</si>
  <si>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</si>
  <si>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</si>
  <si>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</si>
  <si>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</si>
  <si>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</si>
  <si>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</si>
  <si>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</si>
  <si>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</si>
  <si>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</si>
  <si>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</si>
  <si>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</si>
  <si>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</si>
  <si>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</si>
  <si>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</si>
  <si>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</si>
  <si>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</si>
  <si>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</si>
  <si>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</si>
  <si>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</si>
  <si>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</si>
  <si>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</si>
  <si>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</si>
  <si>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</si>
  <si>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</si>
  <si>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</si>
  <si>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</si>
  <si>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</si>
  <si>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</si>
  <si>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</si>
  <si>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</si>
  <si>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</si>
  <si>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</si>
  <si>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</si>
  <si>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</si>
  <si>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</si>
  <si>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</si>
  <si>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</si>
  <si>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</si>
  <si>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</si>
  <si>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</si>
  <si>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</si>
  <si>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</si>
  <si>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</si>
  <si>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</si>
  <si>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</si>
  <si>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</si>
  <si>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</si>
  <si>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</si>
  <si>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</si>
  <si>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</si>
  <si>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</si>
  <si>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</si>
  <si>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</si>
  <si>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</si>
  <si>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</si>
  <si>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</si>
  <si>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</si>
  <si>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</si>
  <si>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</si>
  <si>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</si>
  <si>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</si>
  <si>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</si>
  <si>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</si>
  <si>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</si>
  <si>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</si>
  <si>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</si>
  <si>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</si>
  <si>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</si>
  <si>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</si>
  <si>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</si>
  <si>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</si>
  <si>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</si>
  <si>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</si>
  <si>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</si>
  <si>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</si>
  <si>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</si>
  <si>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</si>
  <si>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</si>
  <si>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</si>
  <si>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</si>
  <si>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</si>
  <si>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</si>
  <si>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</si>
  <si>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</si>
  <si>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</si>
  <si>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</si>
  <si>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</si>
  <si>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</si>
  <si>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</si>
  <si>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</si>
  <si>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</si>
  <si>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</si>
  <si>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</si>
  <si>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</si>
  <si>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</si>
  <si>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</si>
  <si>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</si>
  <si>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</si>
  <si>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</si>
  <si>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</si>
  <si>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</si>
  <si>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</si>
  <si>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</si>
  <si>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</si>
  <si>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</si>
  <si>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</si>
  <si>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</si>
  <si>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</si>
  <si>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</si>
  <si>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</si>
  <si>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</si>
  <si>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</si>
  <si>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</si>
  <si>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</si>
  <si>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</si>
  <si>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</si>
  <si>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</si>
  <si>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</si>
  <si>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</si>
  <si>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</si>
  <si>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</si>
  <si>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</si>
  <si>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</si>
  <si>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</si>
  <si>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</si>
  <si>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</si>
  <si>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</si>
  <si>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</si>
  <si>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</si>
  <si>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</si>
  <si>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</si>
  <si>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</si>
  <si>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</si>
  <si>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</si>
  <si>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</si>
  <si>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</si>
  <si>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</si>
  <si>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</si>
  <si>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</si>
  <si>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</si>
  <si>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</si>
  <si>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</si>
  <si>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</si>
  <si>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</si>
  <si>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</si>
  <si>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</si>
  <si>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</si>
  <si>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</si>
  <si>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</si>
  <si>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</si>
  <si>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</si>
  <si>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</si>
  <si>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</si>
  <si>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</si>
  <si>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</si>
  <si>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</si>
  <si>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</si>
  <si>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</si>
  <si>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</si>
  <si>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</si>
  <si>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</si>
  <si>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</si>
  <si>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</si>
  <si>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</si>
  <si>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</si>
  <si>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</si>
  <si>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</si>
  <si>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</si>
  <si>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</si>
  <si>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</si>
  <si>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</si>
  <si>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</si>
  <si>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</si>
  <si>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</si>
  <si>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</si>
  <si>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</si>
  <si>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</si>
  <si>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</si>
  <si>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</si>
  <si>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</si>
  <si>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</si>
  <si>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</si>
  <si>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</si>
  <si>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</si>
  <si>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</si>
  <si>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</si>
  <si>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</si>
  <si>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</si>
  <si>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</si>
  <si>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</si>
  <si>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</si>
  <si>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</si>
  <si>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</si>
  <si>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</si>
  <si>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</si>
  <si>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</si>
  <si>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</si>
  <si>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</si>
  <si>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</si>
  <si>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</si>
  <si>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</si>
  <si>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</si>
  <si>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</si>
  <si>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</si>
  <si>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</si>
  <si>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</si>
  <si>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</si>
  <si>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</si>
  <si>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</si>
  <si>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</si>
  <si>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</si>
  <si>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</si>
  <si>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</si>
  <si>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</si>
  <si>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</si>
  <si>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</si>
  <si>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</si>
  <si>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</si>
  <si>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</si>
  <si>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</si>
  <si>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</si>
  <si>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</si>
  <si>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</si>
  <si>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</si>
  <si>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</si>
  <si>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</si>
  <si>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</si>
  <si>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</si>
  <si>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</si>
  <si>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</si>
  <si>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</si>
  <si>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</si>
  <si>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</si>
  <si>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</si>
  <si>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</si>
  <si>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</si>
  <si>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</si>
  <si>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</si>
  <si>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</si>
  <si>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</si>
  <si>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</si>
  <si>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</si>
  <si>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</si>
  <si>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</si>
  <si>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</si>
  <si>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</si>
  <si>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</si>
  <si>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</si>
  <si>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</si>
  <si>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</si>
  <si>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</si>
  <si>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</si>
  <si>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</si>
  <si>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</si>
  <si>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</si>
  <si>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</si>
  <si>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</si>
  <si>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</si>
  <si>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</si>
  <si>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</si>
  <si>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</si>
  <si>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</si>
  <si>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</si>
  <si>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</si>
  <si>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</si>
  <si>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</si>
  <si>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</si>
  <si>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</si>
  <si>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</si>
  <si>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</si>
  <si>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</si>
  <si>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</si>
  <si>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</si>
  <si>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</si>
  <si>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</si>
  <si>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</si>
  <si>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</si>
  <si>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</si>
  <si>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</si>
  <si>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</si>
  <si>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</si>
  <si>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</si>
  <si>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</si>
  <si>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</si>
  <si>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</si>
  <si>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</si>
  <si>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</si>
  <si>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</si>
  <si>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</si>
  <si>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</si>
  <si>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</si>
  <si>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</si>
  <si>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</si>
  <si>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</si>
  <si>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</si>
  <si>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</si>
  <si>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</si>
  <si>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</si>
  <si>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</si>
  <si>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</si>
  <si>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</si>
  <si>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</si>
  <si>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</si>
  <si>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</si>
  <si>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</si>
  <si>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</si>
  <si>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</si>
  <si>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</si>
  <si>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</si>
  <si>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</si>
  <si>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</si>
  <si>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</si>
  <si>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</si>
  <si>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</si>
  <si>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</si>
  <si>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</si>
  <si>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</si>
  <si>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</si>
  <si>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</si>
  <si>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</si>
  <si>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</si>
  <si>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</si>
  <si>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</si>
  <si>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</si>
  <si>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</si>
  <si>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</si>
  <si>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</si>
  <si>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</si>
  <si>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</si>
  <si>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</si>
  <si>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</si>
  <si>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</si>
  <si>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</si>
  <si>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</si>
  <si>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</si>
  <si>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</si>
  <si>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</si>
  <si>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</si>
  <si>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</si>
  <si>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</si>
  <si>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</si>
  <si>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</si>
  <si>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</si>
  <si>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</si>
  <si>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</si>
  <si>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</si>
  <si>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</si>
  <si>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</si>
  <si>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</si>
  <si>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</si>
  <si>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</si>
  <si>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</si>
  <si>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</si>
  <si>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</si>
  <si>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</si>
  <si>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</si>
  <si>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</si>
  <si>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</si>
  <si>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</si>
  <si>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</si>
  <si>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</si>
  <si>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</si>
  <si>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</si>
  <si>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</si>
  <si>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</si>
  <si>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</si>
  <si>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</si>
  <si>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</si>
  <si>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</si>
  <si>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</si>
  <si>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</si>
  <si>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</si>
  <si>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</si>
  <si>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</si>
  <si>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</si>
  <si>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</si>
  <si>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</si>
  <si>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</si>
  <si>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</si>
  <si>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</si>
  <si>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</si>
  <si>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</si>
  <si>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</si>
  <si>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</si>
  <si>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</si>
  <si>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</si>
  <si>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</si>
  <si>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</si>
  <si>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</si>
  <si>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</si>
  <si>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</si>
  <si>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</si>
  <si>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</si>
  <si>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</si>
  <si>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</si>
  <si>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</si>
  <si>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</si>
  <si>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</si>
  <si>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</si>
  <si>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</si>
  <si>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</si>
  <si>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</si>
  <si>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</si>
  <si>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</si>
  <si>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</si>
  <si>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</si>
  <si>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</si>
  <si>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</si>
  <si>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</si>
  <si>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</si>
  <si>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</si>
  <si>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</si>
  <si>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</si>
  <si>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</si>
  <si>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</si>
  <si>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</si>
  <si>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</si>
  <si>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</si>
  <si>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</si>
  <si>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</si>
  <si>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</si>
  <si>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</si>
  <si>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</si>
  <si>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</si>
  <si>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</si>
  <si>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</si>
  <si>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</si>
  <si>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</si>
  <si>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</si>
  <si>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</si>
  <si>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</si>
  <si>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</si>
  <si>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</si>
  <si>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</si>
  <si>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</si>
  <si>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</si>
  <si>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</si>
  <si>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</si>
  <si>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</si>
  <si>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</si>
  <si>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</si>
  <si>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</si>
  <si>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</si>
  <si>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</si>
  <si>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</si>
  <si>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</si>
  <si>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</si>
  <si>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</si>
  <si>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</si>
  <si>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</si>
  <si>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</si>
  <si>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</si>
  <si>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</si>
  <si>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</si>
  <si>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</si>
  <si>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</si>
  <si>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</si>
  <si>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</si>
  <si>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</si>
  <si>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</si>
  <si>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</si>
  <si>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</si>
  <si>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</si>
  <si>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</si>
  <si>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</si>
  <si>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</si>
  <si>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</si>
  <si>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</si>
  <si>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</si>
  <si>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</si>
  <si>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</si>
  <si>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</si>
  <si>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</si>
  <si>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</si>
  <si>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</si>
  <si>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</si>
  <si>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</si>
  <si>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</si>
  <si>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</si>
  <si>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</si>
  <si>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</si>
  <si>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</si>
  <si>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</si>
  <si>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</si>
  <si>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</si>
  <si>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</si>
  <si>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</si>
  <si>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</si>
  <si>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</si>
  <si>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</si>
  <si>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</si>
  <si>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</si>
  <si>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</si>
  <si>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</si>
  <si>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</si>
  <si>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</si>
  <si>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</si>
  <si>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</si>
  <si>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</si>
  <si>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</si>
  <si>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</si>
  <si>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</si>
  <si>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</si>
  <si>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</si>
  <si>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</si>
  <si>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</si>
  <si>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</si>
  <si>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</si>
  <si>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</si>
  <si>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</si>
  <si>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</si>
  <si>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</si>
  <si>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</si>
  <si>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</si>
  <si>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</si>
  <si>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</si>
  <si>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</si>
  <si>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</si>
  <si>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</si>
  <si>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</si>
  <si>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</si>
  <si>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</si>
  <si>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</si>
  <si>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</si>
  <si>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</si>
  <si>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</si>
  <si>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</si>
  <si>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</si>
  <si>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</si>
  <si>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</si>
  <si>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</si>
  <si>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</si>
  <si>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</si>
  <si>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</si>
  <si>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</si>
  <si>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</si>
  <si>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</si>
  <si>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</si>
  <si>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</si>
  <si>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</si>
  <si>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</si>
  <si>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</si>
  <si>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</si>
  <si>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</si>
  <si>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</si>
  <si>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</si>
  <si>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</si>
  <si>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</si>
  <si>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</si>
  <si>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</si>
  <si>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</si>
  <si>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</si>
  <si>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</si>
  <si>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</si>
  <si>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</si>
  <si>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</si>
  <si>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</si>
  <si>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</si>
  <si>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</si>
  <si>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</si>
  <si>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</si>
  <si>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</si>
  <si>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</si>
  <si>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</si>
  <si>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</si>
  <si>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</si>
  <si>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</si>
  <si>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</si>
  <si>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</si>
  <si>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</si>
  <si>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</si>
  <si>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</si>
  <si>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</si>
  <si>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</si>
  <si>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</si>
  <si>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</si>
  <si>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</si>
  <si>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</si>
  <si>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</si>
  <si>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</si>
  <si>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</si>
  <si>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</si>
  <si>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</si>
  <si>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</si>
  <si>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</si>
  <si>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</si>
  <si>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</si>
  <si>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</si>
  <si>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</si>
  <si>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</si>
  <si>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</si>
  <si>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</si>
  <si>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</si>
  <si>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</si>
  <si>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</si>
  <si>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</si>
  <si>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</si>
  <si>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</si>
  <si>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</si>
  <si>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</si>
  <si>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</si>
  <si>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</si>
  <si>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</si>
  <si>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</si>
  <si>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</si>
  <si>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</si>
  <si>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</si>
  <si>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</si>
  <si>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</si>
  <si>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</si>
  <si>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</si>
  <si>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</si>
  <si>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</si>
  <si>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</si>
  <si>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</si>
  <si>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</si>
  <si>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</si>
  <si>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</si>
  <si>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</si>
  <si>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</si>
  <si>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</si>
  <si>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</si>
  <si>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</si>
  <si>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</si>
  <si>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</si>
  <si>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</si>
  <si>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</si>
  <si>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</si>
  <si>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</si>
  <si>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</si>
  <si>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</si>
  <si>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</si>
  <si>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</si>
  <si>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</si>
  <si>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</si>
  <si>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</si>
  <si>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</si>
  <si>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</si>
  <si>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</si>
  <si>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</si>
  <si>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</si>
  <si>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</si>
  <si>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</si>
  <si>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</si>
  <si>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</si>
  <si>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</si>
  <si>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</si>
  <si>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</si>
  <si>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</si>
  <si>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</si>
  <si>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</si>
  <si>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</si>
  <si>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</si>
  <si>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</si>
  <si>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</si>
  <si>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</si>
  <si>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</si>
  <si>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</si>
  <si>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</si>
  <si>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</si>
  <si>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</si>
  <si>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</si>
  <si>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</si>
  <si>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</si>
  <si>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</si>
  <si>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</si>
  <si>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</si>
  <si>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</si>
  <si>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</si>
  <si>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</si>
  <si>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</si>
  <si>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</si>
  <si>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</si>
  <si>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</si>
  <si>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</si>
  <si>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</si>
  <si>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</si>
  <si>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</si>
  <si>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</si>
  <si>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</si>
  <si>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</si>
  <si>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</si>
  <si>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</si>
  <si>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</si>
  <si>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</si>
  <si>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</si>
  <si>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</si>
  <si>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</si>
  <si>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</si>
  <si>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</si>
  <si>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</si>
  <si>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</si>
  <si>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</si>
  <si>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</si>
  <si>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</si>
  <si>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</si>
  <si>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</si>
  <si>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</si>
  <si>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</si>
  <si>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</si>
  <si>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</si>
  <si>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</si>
  <si>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</si>
  <si>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</si>
  <si>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</si>
  <si>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</si>
  <si>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</si>
  <si>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</si>
  <si>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</si>
  <si>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</si>
  <si>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</si>
  <si>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</si>
  <si>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</si>
  <si>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</si>
  <si>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</si>
  <si>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</si>
  <si>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</si>
  <si>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</si>
  <si>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</si>
  <si>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</si>
  <si>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</si>
  <si>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</si>
  <si>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</si>
  <si>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</si>
  <si>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</si>
  <si>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</si>
  <si>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</si>
  <si>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</si>
  <si>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</si>
  <si>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</si>
  <si>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</si>
  <si>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</si>
  <si>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</si>
  <si>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</si>
  <si>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</si>
  <si>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</si>
  <si>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</si>
  <si>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</si>
  <si>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</si>
  <si>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</si>
  <si>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</si>
  <si>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</si>
  <si>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</si>
  <si>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</si>
  <si>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</si>
  <si>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</si>
  <si>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</si>
  <si>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</si>
  <si>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</si>
  <si>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</si>
  <si>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</si>
  <si>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</si>
  <si>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</si>
  <si>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</si>
  <si>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</si>
  <si>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</si>
  <si>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</si>
  <si>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</si>
  <si>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</si>
  <si>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</si>
  <si>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</si>
  <si>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</si>
  <si>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</si>
  <si>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</si>
  <si>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</si>
  <si>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</si>
  <si>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</si>
  <si>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</si>
  <si>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</si>
  <si>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</si>
  <si>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</si>
  <si>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</si>
  <si>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</si>
  <si>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</si>
  <si>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</si>
  <si>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</si>
  <si>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</si>
  <si>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</si>
  <si>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</si>
  <si>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</si>
  <si>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</si>
  <si>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</si>
  <si>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</si>
  <si>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</si>
  <si>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</si>
  <si>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</si>
  <si>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</si>
  <si>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</si>
  <si>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</si>
  <si>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</si>
  <si>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</si>
  <si>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</si>
  <si>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</si>
  <si>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</si>
  <si>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</si>
  <si>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</si>
  <si>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</si>
  <si>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</si>
  <si>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</si>
  <si>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</si>
  <si>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</si>
  <si>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</si>
  <si>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</si>
  <si>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</si>
  <si>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</si>
  <si>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</si>
  <si>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</si>
  <si>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</si>
  <si>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</si>
  <si>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</si>
  <si>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</si>
  <si>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</si>
  <si>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</si>
  <si>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</si>
  <si>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</si>
  <si>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</si>
  <si>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</si>
  <si>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</si>
  <si>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</si>
  <si>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</si>
  <si>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</si>
  <si>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</si>
  <si>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</si>
  <si>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</si>
  <si>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</si>
  <si>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</si>
  <si>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</si>
  <si>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</si>
  <si>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</si>
  <si>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</si>
  <si>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</si>
  <si>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</si>
  <si>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</si>
  <si>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</si>
  <si>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</si>
  <si>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</si>
  <si>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</si>
  <si>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</si>
  <si>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</si>
  <si>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</si>
  <si>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</si>
  <si>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</si>
  <si>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</si>
  <si>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</si>
  <si>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</si>
  <si>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</si>
  <si>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</si>
  <si>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</si>
  <si>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</si>
  <si>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</si>
  <si>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</si>
  <si>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</si>
  <si>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</si>
  <si>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</si>
  <si>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</si>
  <si>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</si>
  <si>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</si>
  <si>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</si>
  <si>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</si>
  <si>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</si>
  <si>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</si>
  <si>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</si>
  <si>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</si>
  <si>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</si>
  <si>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</si>
  <si>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</si>
  <si>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</si>
  <si>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</si>
  <si>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</si>
  <si>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</si>
  <si>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</si>
  <si>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</si>
  <si>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</si>
  <si>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</si>
  <si>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</si>
  <si>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</si>
  <si>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</si>
  <si>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</si>
  <si>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</si>
  <si>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</si>
  <si>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</si>
  <si>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</si>
  <si>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</si>
  <si>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</si>
  <si>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</si>
  <si>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</si>
  <si>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</si>
  <si>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</si>
  <si>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</si>
  <si>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</si>
  <si>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</si>
  <si>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</si>
  <si>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</si>
  <si>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</si>
  <si>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</si>
  <si>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</si>
  <si>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</si>
  <si>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</si>
  <si>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</si>
  <si>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</si>
  <si>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</si>
  <si>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</si>
  <si>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</si>
  <si>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</si>
  <si>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</si>
  <si>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</si>
  <si>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</si>
  <si>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</si>
  <si>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</si>
  <si>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</si>
  <si>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</si>
  <si>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</si>
  <si>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</si>
  <si>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</si>
  <si>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</si>
  <si>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</si>
  <si>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</si>
  <si>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</si>
  <si>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</si>
  <si>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</si>
  <si>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</si>
  <si>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</si>
  <si>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</si>
  <si>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</si>
  <si>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</si>
  <si>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</si>
  <si>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</si>
  <si>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</si>
  <si>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</si>
  <si>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</si>
  <si>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</si>
  <si>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</si>
  <si>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</si>
  <si>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</si>
  <si>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</si>
  <si>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</si>
  <si>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</si>
  <si>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</si>
  <si>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</si>
  <si>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</si>
  <si>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</si>
  <si>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</si>
  <si>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</si>
  <si>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</si>
  <si>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</si>
  <si>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</si>
  <si>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</si>
  <si>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</si>
  <si>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</si>
  <si>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</si>
  <si>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</si>
  <si>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</si>
  <si>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</si>
  <si>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</si>
  <si>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</si>
  <si>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</si>
  <si>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</si>
  <si>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</si>
  <si>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</si>
  <si>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</si>
  <si>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</si>
  <si>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</si>
  <si>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</si>
  <si>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</si>
  <si>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</si>
  <si>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</si>
  <si>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</si>
  <si>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</si>
  <si>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</si>
  <si>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</si>
  <si>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</si>
  <si>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</si>
  <si>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</si>
  <si>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</si>
  <si>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</si>
  <si>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</si>
  <si>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</si>
  <si>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</si>
  <si>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</si>
  <si>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</si>
  <si>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</si>
  <si>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</si>
  <si>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</si>
  <si>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</si>
  <si>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</si>
  <si>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</si>
  <si>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</si>
  <si>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</si>
  <si>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</si>
  <si>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</si>
  <si>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</si>
  <si>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</si>
  <si>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</si>
  <si>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</si>
  <si>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</si>
  <si>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</si>
  <si>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</si>
  <si>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</si>
  <si>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</si>
  <si>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</si>
  <si>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</si>
  <si>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</si>
  <si>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</si>
  <si>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</si>
  <si>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</si>
  <si>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</si>
  <si>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</si>
  <si>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</si>
  <si>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</si>
  <si>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</si>
  <si>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</si>
  <si>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</si>
  <si>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</si>
  <si>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</si>
  <si>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</si>
  <si>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</si>
  <si>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</si>
  <si>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</si>
  <si>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</si>
  <si>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</si>
  <si>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</si>
  <si>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</si>
  <si>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</si>
  <si>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</si>
  <si>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</si>
  <si>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</si>
  <si>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</si>
  <si>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</si>
  <si>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</si>
  <si>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</si>
  <si>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</si>
  <si>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</si>
  <si>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</si>
  <si>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</si>
  <si>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</si>
  <si>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</si>
  <si>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</si>
  <si>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</si>
  <si>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</si>
  <si>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</si>
  <si>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</si>
  <si>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</si>
  <si>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</si>
  <si>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</si>
  <si>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</si>
  <si>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</si>
  <si>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</si>
  <si>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</si>
  <si>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</si>
  <si>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</si>
  <si>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</si>
  <si>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</si>
  <si>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</si>
  <si>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</si>
  <si>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</si>
  <si>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</si>
  <si>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</si>
  <si>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</si>
  <si>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</si>
  <si>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</si>
  <si>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</si>
  <si>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</si>
  <si>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</si>
  <si>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</si>
  <si>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</si>
  <si>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</si>
  <si>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</si>
  <si>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</si>
  <si>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</si>
  <si>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</si>
  <si>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</si>
  <si>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</si>
  <si>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</si>
  <si>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</si>
  <si>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</si>
  <si>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</si>
  <si>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</si>
  <si>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</si>
  <si>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</si>
  <si>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</si>
  <si>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</si>
  <si>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</si>
  <si>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</si>
  <si>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</si>
  <si>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</si>
  <si>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</si>
  <si>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</si>
  <si>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</si>
  <si>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</si>
  <si>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</si>
  <si>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</si>
  <si>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</si>
  <si>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</si>
  <si>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</si>
  <si>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</si>
  <si>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</si>
  <si>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</si>
  <si>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</si>
  <si>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</si>
  <si>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</si>
  <si>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</si>
  <si>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</si>
  <si>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</si>
  <si>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</si>
  <si>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</si>
  <si>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</si>
  <si>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</si>
  <si>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</si>
  <si>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</si>
  <si>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</si>
  <si>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</si>
  <si>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</si>
  <si>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</si>
  <si>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</si>
  <si>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</si>
  <si>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</si>
  <si>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</si>
  <si>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</si>
  <si>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</si>
  <si>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</si>
  <si>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</si>
  <si>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</si>
  <si>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</si>
  <si>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</si>
  <si>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</si>
  <si>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</si>
  <si>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</si>
  <si>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</si>
  <si>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</si>
  <si>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</si>
  <si>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</si>
  <si>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</si>
  <si>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</si>
  <si>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</si>
  <si>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</si>
  <si>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</si>
  <si>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</si>
  <si>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</si>
  <si>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</si>
  <si>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</si>
  <si>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</si>
  <si>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</si>
  <si>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</si>
  <si>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</si>
  <si>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</si>
  <si>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</si>
  <si>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</si>
  <si>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</si>
  <si>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</si>
  <si>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</si>
  <si>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</si>
  <si>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</si>
  <si>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</si>
  <si>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</si>
  <si>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</si>
  <si>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</si>
  <si>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</si>
  <si>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</si>
  <si>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</si>
  <si>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</si>
  <si>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</si>
  <si>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</si>
  <si>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</si>
  <si>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</si>
  <si>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</si>
  <si>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</si>
  <si>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</si>
  <si>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</si>
  <si>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</si>
  <si>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</si>
  <si>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</si>
  <si>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</si>
  <si>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</si>
  <si>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</si>
  <si>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</si>
  <si>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</si>
  <si>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</si>
  <si>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</si>
  <si>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</si>
  <si>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</si>
  <si>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</si>
  <si>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</si>
  <si>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</si>
  <si>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</si>
  <si>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</si>
  <si>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</si>
  <si>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</si>
  <si>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</si>
  <si>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</si>
  <si>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</si>
  <si>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</si>
  <si>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</si>
  <si>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</si>
  <si>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</si>
  <si>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</si>
  <si>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</si>
  <si>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</si>
  <si>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</si>
  <si>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</si>
  <si>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</si>
  <si>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</si>
  <si>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</si>
  <si>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</si>
  <si>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</si>
  <si>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</si>
  <si>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</si>
  <si>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</si>
  <si>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</si>
  <si>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</si>
  <si>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</si>
  <si>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</si>
  <si>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</si>
  <si>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</si>
  <si>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</si>
  <si>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</si>
  <si>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</si>
  <si>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</si>
  <si>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</si>
  <si>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</si>
  <si>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</si>
  <si>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</si>
  <si>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</si>
  <si>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</si>
  <si>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</si>
  <si>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</si>
  <si>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</si>
  <si>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</si>
  <si>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</si>
  <si>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</si>
  <si>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</si>
  <si>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</si>
  <si>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</si>
  <si>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</si>
  <si>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</si>
  <si>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</si>
  <si>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</si>
  <si>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</si>
  <si>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</si>
  <si>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</si>
  <si>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</si>
  <si>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</si>
  <si>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</si>
  <si>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</si>
  <si>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</si>
  <si>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</si>
  <si>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</si>
  <si>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</si>
  <si>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</si>
  <si>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</si>
  <si>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</si>
  <si>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</si>
  <si>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</si>
  <si>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</si>
  <si>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</si>
  <si>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</si>
  <si>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</si>
  <si>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</si>
  <si>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</si>
  <si>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</si>
  <si>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</si>
  <si>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</si>
  <si>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</si>
  <si>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</si>
  <si>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</si>
  <si>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</si>
  <si>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</si>
  <si>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</si>
  <si>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</si>
  <si>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</si>
  <si>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</si>
  <si>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</si>
  <si>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</si>
  <si>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</si>
  <si>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</si>
  <si>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</si>
  <si>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</si>
  <si>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</si>
  <si>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</si>
  <si>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</si>
  <si>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</si>
  <si>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</si>
  <si>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</si>
  <si>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</si>
  <si>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</si>
  <si>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</si>
  <si>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</si>
  <si>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</si>
  <si>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</si>
  <si>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</si>
  <si>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</si>
  <si>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</si>
  <si>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</si>
  <si>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</si>
  <si>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</si>
  <si>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</si>
  <si>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</si>
  <si>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</si>
  <si>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</si>
  <si>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</si>
  <si>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</si>
  <si>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</si>
  <si>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</si>
  <si>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</si>
  <si>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</si>
  <si>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</si>
  <si>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</si>
  <si>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</si>
  <si>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</si>
  <si>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</si>
  <si>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</si>
  <si>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</si>
  <si>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</si>
  <si>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</si>
  <si>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</si>
  <si>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</si>
  <si>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</si>
  <si>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</si>
  <si>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</si>
  <si>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</si>
  <si>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</si>
  <si>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</si>
  <si>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</si>
  <si>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</si>
  <si>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</si>
  <si>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</si>
  <si>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</si>
  <si>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</si>
  <si>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</si>
  <si>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</si>
  <si>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</si>
  <si>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</si>
  <si>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</si>
  <si>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</si>
  <si>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</si>
  <si>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</si>
  <si>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</si>
  <si>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</si>
  <si>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</si>
  <si>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</si>
  <si>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</si>
  <si>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</si>
  <si>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</si>
  <si>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</si>
  <si>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</si>
  <si>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</si>
  <si>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</si>
  <si>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</si>
  <si>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</si>
  <si>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</si>
  <si>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</si>
  <si>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</si>
  <si>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</si>
  <si>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</si>
  <si>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</si>
  <si>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</si>
  <si>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</si>
  <si>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</si>
  <si>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</si>
  <si>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</si>
  <si>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</si>
  <si>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</si>
  <si>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</si>
  <si>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</si>
  <si>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</si>
  <si>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</si>
  <si>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</si>
  <si>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</si>
  <si>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</si>
  <si>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</si>
  <si>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</si>
  <si>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</si>
  <si>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</si>
  <si>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</si>
  <si>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</si>
  <si>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</si>
  <si>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</si>
  <si>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</si>
  <si>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</si>
  <si>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</si>
  <si>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</si>
  <si>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</si>
  <si>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</si>
  <si>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</si>
  <si>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</si>
  <si>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</si>
  <si>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</si>
  <si>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</si>
  <si>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</si>
  <si>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</si>
  <si>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</si>
  <si>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</si>
  <si>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</si>
  <si>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</si>
  <si>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</si>
  <si>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</si>
  <si>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</si>
  <si>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</si>
  <si>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</si>
  <si>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</si>
  <si>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</si>
  <si>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</si>
  <si>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</si>
  <si>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</si>
  <si>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</si>
  <si>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</si>
  <si>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</si>
  <si>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</si>
  <si>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</si>
  <si>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</si>
  <si>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</si>
  <si>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</si>
  <si>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</si>
  <si>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</si>
  <si>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</si>
  <si>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</si>
  <si>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</si>
  <si>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</si>
  <si>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</si>
  <si>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</si>
  <si>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</si>
  <si>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</si>
  <si>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</si>
  <si>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</si>
  <si>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</si>
  <si>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</si>
  <si>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</si>
  <si>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</si>
  <si>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</si>
  <si>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</si>
  <si>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</si>
  <si>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</si>
  <si>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</si>
  <si>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</si>
  <si>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</si>
  <si>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</si>
  <si>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</si>
  <si>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</si>
  <si>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</si>
  <si>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</si>
  <si>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</si>
  <si>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</si>
  <si>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</si>
  <si>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</si>
  <si>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</si>
  <si>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</si>
  <si>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</si>
  <si>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</si>
  <si>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</si>
  <si>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</si>
  <si>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</si>
  <si>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</si>
  <si>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</si>
  <si>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</si>
  <si>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</si>
  <si>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</si>
  <si>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</si>
  <si>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</si>
  <si>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</si>
  <si>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</si>
  <si>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</si>
  <si>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</si>
  <si>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</si>
  <si>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</si>
  <si>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</si>
  <si>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</si>
  <si>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</si>
  <si>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</si>
  <si>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</si>
  <si>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</si>
  <si>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</si>
  <si>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</si>
  <si>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</si>
  <si>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</si>
  <si>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</si>
  <si>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</si>
  <si>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</si>
  <si>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</si>
  <si>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</si>
  <si>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</si>
  <si>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</si>
  <si>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</si>
  <si>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</si>
  <si>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</si>
  <si>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</si>
  <si>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</si>
  <si>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</si>
  <si>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</si>
  <si>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</si>
  <si>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</si>
  <si>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</si>
  <si>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</si>
  <si>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</si>
  <si>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</si>
  <si>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</si>
  <si>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</si>
  <si>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</si>
  <si>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</si>
  <si>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</si>
  <si>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</si>
  <si>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</si>
  <si>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</si>
  <si>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</si>
  <si>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</si>
  <si>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</si>
  <si>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</si>
  <si>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</si>
  <si>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</si>
  <si>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</si>
  <si>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</si>
  <si>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</si>
  <si>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</si>
  <si>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</si>
  <si>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</si>
  <si>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</si>
  <si>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</si>
  <si>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</si>
  <si>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</si>
  <si>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</si>
  <si>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</si>
  <si>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</si>
  <si>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</si>
  <si>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</si>
  <si>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</si>
  <si>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</si>
  <si>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</si>
  <si>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</si>
  <si>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</si>
  <si>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</si>
  <si>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</si>
  <si>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</si>
  <si>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</si>
  <si>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</si>
  <si>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</si>
  <si>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</si>
  <si>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</si>
  <si>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</si>
  <si>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</si>
  <si>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</si>
  <si>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</si>
  <si>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</si>
  <si>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</si>
  <si>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</si>
  <si>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</si>
  <si>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</si>
  <si>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</si>
  <si>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</si>
  <si>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</si>
  <si>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</si>
  <si>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</si>
  <si>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</si>
  <si>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</si>
  <si>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</si>
  <si>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</si>
  <si>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</si>
  <si>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</si>
  <si>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</si>
  <si>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</si>
  <si>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</si>
  <si>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</si>
  <si>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</si>
  <si>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</si>
  <si>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</si>
  <si>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</si>
  <si>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</si>
  <si>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</si>
  <si>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</si>
  <si>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</si>
  <si>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</si>
  <si>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</si>
  <si>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</si>
  <si>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</si>
  <si>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</si>
  <si>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</si>
  <si>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</si>
  <si>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</si>
  <si>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</si>
  <si>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</si>
  <si>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</si>
  <si>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</si>
  <si>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</si>
  <si>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</si>
  <si>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</si>
  <si>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</si>
  <si>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</si>
  <si>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</si>
  <si>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</si>
  <si>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</si>
  <si>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</si>
  <si>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</si>
  <si>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</si>
  <si>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</si>
  <si>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</si>
  <si>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</si>
  <si>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</si>
  <si>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</si>
  <si>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</si>
  <si>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</si>
  <si>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</si>
  <si>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</si>
  <si>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</si>
  <si>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</si>
  <si>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</si>
  <si>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</si>
  <si>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</si>
  <si>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</si>
  <si>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</si>
  <si>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</si>
  <si>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</si>
  <si>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</si>
  <si>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</si>
  <si>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</si>
  <si>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</si>
  <si>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</si>
  <si>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</si>
  <si>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</si>
  <si>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</si>
  <si>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</si>
  <si>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</si>
  <si>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</si>
  <si>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</si>
  <si>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</si>
  <si>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</si>
  <si>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</si>
  <si>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</si>
  <si>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</si>
  <si>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</si>
  <si>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</si>
  <si>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</si>
  <si>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</si>
  <si>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</si>
  <si>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</si>
  <si>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</si>
  <si>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</si>
  <si>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</si>
  <si>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</si>
  <si>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</si>
  <si>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</si>
  <si>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</si>
  <si>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</si>
  <si>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</si>
  <si>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</si>
  <si>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</si>
  <si>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</si>
  <si>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</si>
  <si>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</si>
  <si>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</si>
  <si>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</si>
  <si>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</si>
  <si>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</si>
  <si>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</si>
  <si>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</si>
  <si>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</si>
  <si>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</si>
  <si>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</si>
  <si>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</si>
  <si>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</si>
  <si>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</si>
  <si>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</si>
  <si>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</si>
  <si>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</si>
  <si>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</si>
  <si>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</si>
  <si>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</si>
  <si>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</si>
  <si>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</si>
  <si>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</si>
  <si>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</si>
  <si>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</si>
  <si>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</si>
  <si>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</si>
  <si>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</si>
  <si>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</si>
  <si>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</si>
  <si>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</si>
  <si>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</si>
  <si>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</si>
  <si>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</si>
  <si>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</si>
  <si>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</si>
  <si>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</si>
  <si>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</si>
  <si>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</si>
  <si>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</si>
  <si>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</si>
  <si>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</si>
  <si>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</si>
  <si>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</si>
  <si>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</si>
  <si>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</si>
  <si>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</si>
  <si>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</si>
  <si>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</si>
  <si>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</si>
  <si>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</si>
  <si>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</si>
  <si>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</si>
  <si>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</si>
  <si>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</si>
  <si>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</si>
  <si>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</si>
  <si>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</si>
  <si>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</si>
  <si>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</si>
  <si>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</si>
  <si>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</si>
  <si>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</si>
  <si>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</si>
  <si>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</si>
  <si>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</si>
  <si>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</si>
  <si>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</si>
  <si>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</si>
  <si>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</si>
  <si>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</si>
  <si>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</si>
  <si>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</si>
  <si>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</si>
  <si>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</si>
  <si>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</si>
  <si>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</si>
  <si>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</si>
  <si>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</si>
  <si>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</si>
  <si>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</si>
  <si>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</si>
  <si>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</si>
  <si>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</si>
  <si>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</si>
  <si>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</si>
  <si>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</si>
  <si>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</si>
  <si>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</si>
  <si>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</si>
  <si>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</si>
  <si>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</si>
  <si>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</si>
  <si>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</si>
  <si>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</si>
  <si>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</si>
  <si>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</si>
  <si>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</si>
  <si>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</si>
  <si>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</si>
  <si>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</si>
  <si>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</si>
  <si>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</si>
  <si>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</si>
  <si>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</si>
  <si>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</si>
  <si>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</si>
  <si>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</si>
  <si>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</si>
  <si>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</si>
  <si>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</si>
  <si>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</si>
  <si>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</si>
  <si>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</si>
  <si>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</si>
  <si>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</si>
  <si>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</si>
  <si>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</si>
  <si>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</si>
  <si>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</si>
  <si>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</si>
  <si>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</si>
  <si>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</si>
  <si>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</si>
  <si>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</si>
  <si>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</si>
  <si>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</si>
  <si>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</si>
  <si>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</si>
  <si>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</si>
  <si>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</si>
  <si>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</si>
  <si>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</si>
  <si>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</si>
  <si>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</si>
  <si>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</si>
  <si>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</si>
  <si>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</si>
  <si>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</si>
  <si>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</si>
  <si>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</si>
  <si>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</si>
  <si>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</si>
  <si>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</si>
  <si>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</si>
  <si>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</si>
  <si>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</si>
  <si>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</si>
  <si>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</si>
  <si>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</si>
  <si>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</si>
  <si>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</si>
  <si>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</si>
  <si>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</si>
  <si>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</si>
  <si>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</si>
  <si>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</si>
  <si>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</si>
  <si>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</si>
  <si>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</si>
  <si>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</si>
  <si>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</si>
  <si>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</si>
  <si>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</si>
  <si>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</si>
  <si>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</si>
  <si>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</si>
  <si>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</si>
  <si>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</si>
  <si>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</si>
  <si>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</si>
  <si>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</si>
  <si>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</si>
  <si>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</si>
  <si>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</si>
  <si>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</si>
  <si>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</si>
  <si>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</si>
  <si>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</si>
  <si>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</si>
  <si>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</si>
  <si>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</si>
  <si>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</si>
  <si>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</si>
  <si>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</si>
  <si>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</si>
  <si>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</si>
  <si>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</si>
  <si>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</si>
  <si>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</si>
  <si>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</si>
  <si>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</si>
  <si>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</si>
  <si>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</si>
  <si>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</si>
  <si>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</si>
  <si>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</si>
  <si>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</si>
  <si>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</si>
  <si>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</si>
  <si>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</si>
  <si>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</si>
  <si>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</si>
  <si>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</si>
  <si>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</si>
  <si>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</si>
  <si>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</si>
  <si>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</si>
  <si>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</si>
  <si>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</si>
  <si>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</si>
  <si>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</si>
  <si>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</si>
  <si>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</si>
  <si>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</si>
  <si>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</si>
  <si>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</si>
  <si>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</si>
  <si>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</si>
  <si>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</si>
  <si>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</si>
  <si>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</si>
  <si>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</si>
  <si>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</si>
  <si>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</si>
  <si>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</si>
  <si>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</si>
  <si>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</si>
  <si>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</si>
  <si>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</si>
  <si>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</si>
  <si>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</si>
  <si>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</si>
  <si>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</si>
  <si>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</si>
  <si>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</si>
  <si>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</si>
  <si>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</si>
  <si>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</si>
  <si>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</si>
  <si>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</si>
  <si>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</si>
  <si>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</si>
  <si>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</si>
  <si>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</si>
  <si>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</si>
  <si>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</si>
  <si>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</si>
  <si>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</si>
  <si>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</si>
  <si>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</si>
  <si>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</si>
  <si>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</si>
  <si>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</si>
  <si>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</si>
  <si>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</si>
  <si>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</si>
  <si>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</si>
  <si>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</si>
  <si>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</si>
  <si>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</si>
  <si>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</si>
  <si>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</si>
  <si>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</si>
  <si>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</si>
  <si>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</si>
  <si>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</si>
  <si>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</si>
  <si>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</si>
  <si>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</si>
  <si>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</si>
  <si>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</si>
  <si>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</si>
  <si>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</si>
  <si>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</si>
  <si>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</si>
  <si>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</si>
  <si>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</si>
  <si>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</si>
  <si>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</si>
  <si>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</si>
  <si>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</si>
  <si>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</si>
  <si>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</si>
  <si>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</si>
  <si>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</si>
  <si>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</si>
  <si>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</si>
  <si>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</si>
  <si>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</si>
  <si>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</si>
  <si>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</si>
  <si>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</si>
  <si>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</si>
  <si>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</si>
  <si>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</si>
  <si>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</si>
  <si>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</si>
  <si>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</si>
  <si>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</si>
  <si>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</si>
  <si>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</si>
  <si>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</si>
  <si>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</si>
  <si>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</si>
  <si>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</si>
  <si>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</si>
  <si>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</si>
  <si>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</si>
  <si>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</si>
  <si>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</si>
  <si>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</si>
  <si>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</si>
  <si>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</si>
  <si>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</si>
  <si>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</si>
  <si>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</si>
  <si>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</si>
  <si>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</si>
  <si>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</si>
  <si>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</si>
  <si>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</si>
  <si>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</si>
  <si>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</si>
  <si>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</si>
  <si>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</si>
  <si>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</si>
  <si>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</si>
  <si>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</si>
  <si>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</si>
  <si>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</si>
  <si>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</si>
  <si>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</si>
  <si>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</si>
  <si>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</si>
  <si>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</si>
  <si>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</si>
  <si>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</si>
  <si>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</si>
  <si>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</si>
  <si>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</si>
  <si>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</si>
  <si>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</si>
  <si>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</si>
  <si>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</si>
  <si>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</si>
  <si>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</si>
  <si>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</si>
  <si>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</si>
  <si>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</si>
  <si>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</si>
  <si>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</si>
  <si>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</si>
  <si>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</si>
  <si>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</si>
  <si>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</si>
  <si>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</si>
  <si>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</si>
  <si>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</si>
  <si>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</si>
  <si>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</si>
  <si>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</si>
  <si>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</si>
  <si>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</si>
  <si>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</si>
  <si>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</si>
  <si>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</si>
  <si>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</si>
  <si>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</si>
  <si>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</si>
  <si>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</si>
  <si>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</si>
  <si>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</si>
  <si>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</si>
  <si>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</si>
  <si>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</si>
  <si>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</si>
  <si>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</si>
  <si>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</si>
  <si>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</si>
  <si>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</si>
  <si>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</si>
  <si>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</si>
  <si>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</si>
  <si>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</si>
  <si>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</si>
  <si>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</si>
  <si>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</si>
  <si>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</si>
  <si>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</si>
  <si>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</si>
  <si>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</si>
  <si>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</si>
  <si>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</si>
  <si>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</si>
  <si>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</si>
  <si>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</si>
  <si>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</si>
  <si>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</si>
  <si>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</si>
  <si>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</si>
  <si>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</si>
  <si>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</si>
  <si>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</si>
  <si>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</si>
  <si>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</si>
  <si>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</si>
  <si>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</si>
  <si>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</si>
  <si>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</si>
  <si>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</si>
  <si>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</si>
  <si>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</si>
  <si>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</si>
  <si>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</si>
  <si>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</si>
  <si>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</si>
  <si>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</si>
  <si>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</si>
  <si>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</si>
  <si>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</si>
  <si>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</si>
  <si>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</si>
  <si>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</si>
  <si>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</si>
  <si>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</si>
  <si>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</si>
  <si>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</si>
  <si>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</si>
  <si>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</si>
  <si>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</si>
  <si>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</si>
  <si>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</si>
  <si>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</si>
  <si>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</si>
  <si>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</si>
  <si>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</si>
  <si>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</si>
  <si>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</si>
  <si>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</si>
  <si>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</si>
  <si>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</si>
  <si>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</si>
  <si>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</si>
  <si>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</si>
  <si>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</si>
  <si>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</si>
  <si>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</si>
  <si>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</si>
  <si>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</si>
  <si>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</si>
  <si>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</si>
  <si>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</si>
  <si>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</si>
  <si>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</si>
  <si>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</si>
  <si>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</si>
  <si>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</si>
  <si>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</si>
  <si>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</si>
  <si>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</si>
  <si>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</si>
  <si>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</si>
  <si>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</si>
  <si>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</si>
  <si>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</si>
  <si>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</si>
  <si>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</si>
  <si>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</si>
  <si>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</si>
  <si>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</si>
  <si>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</si>
  <si>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</si>
  <si>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</si>
  <si>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</si>
  <si>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</si>
  <si>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</si>
  <si>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</si>
  <si>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</si>
  <si>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</si>
  <si>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</si>
  <si>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</si>
  <si>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</si>
  <si>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</si>
  <si>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</si>
  <si>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</si>
  <si>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</si>
  <si>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</si>
  <si>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</si>
  <si>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</si>
  <si>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</si>
  <si>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</si>
  <si>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</si>
  <si>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</si>
  <si>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</si>
  <si>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</si>
  <si>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</si>
  <si>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</si>
  <si>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</si>
  <si>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</si>
  <si>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</si>
  <si>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</si>
  <si>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</si>
  <si>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</si>
  <si>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</si>
  <si>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</si>
  <si>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</si>
  <si>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</si>
  <si>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</si>
  <si>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</si>
  <si>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</si>
  <si>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</si>
  <si>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</si>
  <si>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</si>
  <si>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</si>
  <si>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</si>
  <si>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</si>
  <si>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</si>
  <si>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</si>
  <si>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</si>
  <si>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</si>
  <si>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</si>
  <si>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</si>
  <si>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</si>
  <si>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</si>
  <si>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</si>
  <si>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</si>
  <si>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</si>
  <si>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</si>
  <si>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</si>
  <si>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</si>
  <si>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</si>
  <si>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</si>
  <si>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</si>
  <si>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</si>
  <si>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</si>
  <si>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</si>
  <si>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</si>
  <si>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</si>
  <si>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</si>
  <si>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</si>
  <si>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</si>
  <si>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</si>
  <si>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</si>
  <si>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</si>
  <si>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</si>
  <si>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</si>
  <si>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</si>
  <si>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</si>
  <si>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</si>
  <si>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</si>
  <si>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</si>
  <si>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</si>
  <si>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</si>
  <si>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</si>
  <si>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</si>
  <si>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</si>
  <si>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</si>
  <si>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</si>
  <si>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</si>
  <si>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</si>
  <si>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</si>
  <si>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</si>
  <si>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</si>
  <si>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</si>
  <si>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</si>
  <si>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</si>
  <si>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</si>
  <si>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</si>
  <si>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</si>
  <si>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</si>
  <si>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</si>
  <si>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</si>
  <si>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</si>
  <si>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</si>
  <si>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</si>
  <si>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</si>
  <si>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</si>
  <si>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</si>
  <si>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</si>
  <si>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</si>
  <si>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</si>
  <si>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</si>
  <si>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</si>
  <si>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</si>
  <si>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</si>
  <si>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</si>
  <si>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</si>
  <si>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</si>
  <si>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</si>
  <si>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</si>
  <si>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</si>
  <si>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</si>
  <si>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</si>
  <si>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</si>
  <si>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</si>
  <si>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</si>
  <si>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</si>
  <si>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</si>
  <si>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</si>
  <si>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</si>
  <si>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</si>
  <si>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</si>
  <si>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</si>
  <si>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</si>
  <si>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</si>
  <si>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</si>
  <si>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</si>
  <si>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</si>
  <si>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</si>
  <si>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</si>
  <si>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</si>
  <si>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</si>
  <si>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</si>
  <si>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</si>
  <si>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</si>
  <si>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</si>
  <si>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</si>
  <si>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</si>
  <si>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</si>
  <si>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</si>
  <si>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</si>
  <si>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</si>
  <si>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</si>
  <si>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</si>
  <si>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</si>
  <si>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</si>
  <si>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</si>
  <si>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</si>
  <si>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</si>
  <si>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</si>
  <si>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</si>
  <si>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</si>
  <si>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</si>
  <si>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</si>
  <si>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</si>
  <si>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</si>
  <si>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</si>
  <si>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</si>
  <si>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</si>
  <si>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</si>
  <si>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</si>
  <si>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</si>
  <si>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</si>
  <si>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</si>
  <si>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</si>
  <si>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</si>
  <si>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</si>
  <si>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</si>
  <si>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</si>
  <si>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</si>
  <si>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</si>
  <si>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</si>
  <si>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</si>
  <si>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</si>
  <si>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</si>
  <si>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</si>
  <si>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</si>
  <si>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</si>
  <si>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</si>
  <si>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</si>
  <si>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</si>
  <si>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</si>
  <si>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</si>
  <si>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</si>
  <si>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</si>
  <si>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</si>
  <si>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</si>
  <si>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</si>
  <si>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</si>
  <si>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</si>
  <si>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</si>
  <si>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</si>
  <si>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</si>
  <si>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</si>
  <si>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</si>
  <si>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</si>
  <si>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</si>
  <si>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</si>
  <si>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</si>
  <si>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</si>
  <si>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</si>
  <si>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</si>
  <si>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</si>
  <si>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</si>
  <si>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</si>
  <si>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</si>
  <si>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</si>
  <si>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</si>
  <si>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</si>
  <si>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</si>
  <si>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</si>
  <si>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</si>
  <si>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</si>
  <si>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</si>
  <si>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</si>
  <si>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</si>
  <si>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</si>
  <si>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</si>
  <si>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</si>
  <si>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</si>
  <si>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</si>
  <si>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</si>
  <si>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</si>
  <si>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</si>
  <si>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</si>
  <si>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</si>
  <si>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</si>
  <si>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</si>
  <si>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</si>
  <si>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</si>
  <si>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</si>
  <si>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</si>
  <si>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</si>
  <si>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</si>
  <si>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</si>
  <si>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</si>
  <si>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</si>
  <si>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</si>
  <si>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</si>
  <si>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</si>
  <si>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</si>
  <si>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</si>
  <si>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</si>
  <si>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</si>
  <si>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</si>
  <si>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</si>
  <si>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</si>
  <si>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</si>
  <si>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</si>
  <si>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</si>
  <si>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</si>
  <si>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</si>
  <si>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</si>
  <si>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</si>
  <si>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</si>
  <si>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</si>
  <si>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</si>
  <si>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</si>
  <si>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</si>
  <si>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</si>
  <si>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</si>
  <si>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</si>
  <si>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</si>
  <si>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</si>
  <si>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</si>
  <si>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</si>
  <si>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</si>
  <si>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</si>
  <si>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</si>
  <si>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</si>
  <si>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</si>
  <si>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</si>
  <si>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</si>
  <si>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</si>
  <si>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</si>
  <si>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</si>
  <si>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</si>
  <si>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</si>
  <si>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</si>
  <si>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</si>
  <si>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</si>
  <si>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</si>
  <si>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</si>
  <si>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</si>
  <si>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</si>
  <si>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</si>
  <si>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</si>
  <si>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</si>
  <si>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</si>
  <si>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</si>
  <si>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</si>
  <si>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</si>
  <si>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</si>
  <si>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</si>
  <si>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</si>
  <si>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</si>
  <si>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</si>
  <si>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</si>
  <si>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</si>
  <si>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</si>
  <si>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</si>
  <si>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</si>
  <si>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</si>
  <si>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</si>
  <si>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</si>
  <si>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</si>
  <si>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</si>
  <si>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</si>
  <si>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</si>
  <si>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</si>
  <si>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</si>
  <si>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</si>
  <si>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</si>
  <si>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</si>
  <si>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</si>
  <si>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</si>
  <si>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</si>
  <si>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</si>
  <si>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</si>
  <si>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</si>
  <si>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</si>
  <si>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</si>
  <si>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</si>
  <si>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</si>
  <si>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</si>
  <si>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</si>
  <si>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</si>
  <si>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</si>
  <si>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</si>
  <si>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</si>
  <si>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</si>
  <si>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</si>
  <si>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</si>
  <si>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</si>
  <si>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</si>
  <si>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</si>
  <si>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</si>
  <si>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</si>
  <si>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</si>
  <si>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</si>
  <si>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</si>
  <si>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</si>
  <si>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</si>
  <si>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</si>
  <si>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</si>
  <si>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</si>
  <si>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</si>
  <si>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</si>
  <si>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</si>
  <si>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</si>
  <si>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</si>
  <si>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</si>
  <si>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</si>
  <si>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</si>
  <si>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</si>
  <si>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</si>
  <si>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</si>
  <si>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</si>
  <si>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</si>
  <si>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</si>
  <si>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</si>
  <si>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</si>
  <si>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</si>
  <si>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</si>
  <si>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</si>
  <si>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</si>
  <si>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</si>
  <si>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</si>
  <si>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</si>
  <si>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</si>
  <si>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</si>
  <si>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</si>
  <si>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</si>
  <si>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</si>
  <si>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</si>
  <si>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</si>
  <si>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</si>
  <si>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</si>
  <si>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</si>
  <si>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</si>
  <si>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</si>
  <si>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</si>
  <si>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</si>
  <si>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</si>
  <si>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</si>
  <si>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</si>
  <si>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</si>
  <si>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</si>
  <si>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</si>
  <si>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</si>
  <si>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</si>
  <si>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</si>
  <si>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</si>
  <si>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</si>
  <si>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</si>
  <si>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</si>
  <si>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</si>
  <si>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</si>
  <si>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</si>
  <si>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</si>
  <si>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</si>
  <si>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</si>
  <si>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</si>
  <si>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</si>
  <si>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</si>
  <si>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</si>
  <si>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</si>
  <si>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</si>
  <si>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</si>
  <si>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</si>
  <si>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</si>
  <si>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</si>
  <si>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</si>
  <si>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</si>
  <si>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</si>
  <si>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</si>
  <si>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</si>
  <si>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</si>
  <si>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</si>
  <si>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</si>
  <si>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</si>
  <si>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</si>
  <si>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</si>
  <si>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</si>
  <si>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</si>
  <si>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</si>
  <si>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</si>
  <si>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</si>
  <si>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</si>
  <si>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</si>
  <si>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</si>
  <si>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</si>
  <si>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</si>
  <si>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</si>
  <si>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</si>
  <si>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</si>
  <si>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</si>
  <si>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</si>
  <si>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</si>
  <si>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</si>
  <si>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</si>
  <si>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</si>
  <si>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</si>
  <si>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</si>
  <si>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</si>
  <si>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</si>
  <si>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</si>
  <si>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</si>
  <si>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</si>
  <si>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</si>
  <si>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</si>
  <si>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</si>
  <si>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</si>
  <si>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</si>
  <si>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</si>
  <si>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</si>
  <si>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</si>
  <si>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</si>
  <si>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</si>
  <si>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</si>
  <si>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</si>
  <si>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</si>
  <si>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</si>
  <si>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</si>
  <si>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</si>
  <si>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</si>
  <si>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</si>
  <si>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</si>
  <si>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</si>
  <si>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</si>
  <si>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</si>
  <si>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</si>
  <si>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</si>
  <si>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</si>
  <si>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</si>
  <si>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</si>
  <si>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</si>
  <si>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</si>
  <si>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</si>
  <si>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</si>
  <si>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</si>
  <si>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</si>
  <si>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</si>
  <si>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</si>
  <si>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</si>
  <si>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</si>
  <si>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</si>
  <si>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</si>
  <si>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</si>
  <si>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</si>
  <si>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</si>
  <si>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</si>
  <si>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</si>
  <si>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</si>
  <si>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</si>
  <si>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</si>
  <si>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</si>
  <si>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</si>
  <si>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</si>
  <si>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</si>
  <si>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</si>
  <si>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</si>
  <si>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</si>
  <si>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</si>
  <si>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</si>
  <si>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</si>
  <si>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</si>
  <si>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</si>
  <si>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</si>
  <si>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</si>
  <si>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</si>
  <si>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</si>
  <si>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</si>
  <si>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</si>
  <si>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</si>
  <si>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</si>
  <si>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</si>
  <si>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</si>
  <si>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</si>
  <si>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</si>
  <si>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</si>
  <si>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</si>
  <si>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</si>
  <si>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</si>
  <si>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</si>
  <si>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</si>
  <si>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</si>
  <si>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</si>
  <si>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</si>
  <si>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</si>
  <si>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</si>
  <si>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</si>
  <si>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</si>
  <si>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</si>
  <si>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</si>
  <si>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</si>
  <si>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</si>
  <si>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</si>
  <si>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</si>
  <si>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</si>
  <si>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</si>
  <si>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</si>
  <si>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</si>
  <si>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</si>
  <si>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</si>
  <si>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</si>
  <si>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</si>
  <si>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</si>
  <si>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</si>
  <si>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</si>
  <si>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</si>
  <si>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</si>
  <si>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</si>
  <si>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</si>
  <si>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</si>
  <si>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</si>
  <si>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</si>
  <si>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</si>
  <si>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</si>
  <si>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</si>
  <si>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</si>
  <si>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</si>
  <si>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</si>
  <si>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</si>
  <si>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</si>
  <si>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</si>
  <si>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</si>
  <si>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</si>
  <si>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</si>
  <si>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</si>
  <si>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</si>
  <si>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</si>
  <si>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</si>
  <si>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</si>
  <si>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</si>
  <si>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</si>
  <si>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</si>
  <si>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</si>
  <si>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</si>
  <si>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</si>
  <si>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</si>
  <si>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</si>
  <si>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</si>
  <si>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</si>
  <si>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</si>
  <si>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</si>
  <si>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</si>
  <si>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</si>
  <si>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</si>
  <si>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</si>
  <si>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</si>
  <si>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</si>
  <si>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</si>
  <si>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</si>
  <si>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</si>
  <si>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</si>
  <si>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</si>
  <si>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</si>
  <si>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</si>
  <si>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</si>
  <si>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</si>
  <si>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</si>
  <si>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</si>
  <si>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</si>
  <si>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</si>
  <si>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</si>
  <si>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</si>
  <si>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</si>
  <si>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</si>
  <si>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</si>
  <si>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</si>
  <si>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</si>
  <si>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</si>
  <si>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</si>
  <si>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</si>
  <si>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</si>
  <si>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</si>
  <si>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</si>
  <si>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</si>
  <si>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</si>
  <si>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</si>
  <si>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</si>
  <si>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</si>
  <si>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</si>
  <si>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</si>
  <si>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</si>
  <si>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</si>
  <si>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</si>
  <si>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</si>
  <si>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</si>
  <si>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</si>
  <si>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</si>
  <si>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</si>
  <si>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</si>
  <si>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</si>
  <si>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</si>
  <si>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</si>
  <si>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</si>
  <si>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</si>
  <si>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</si>
  <si>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</si>
  <si>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</si>
  <si>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</si>
  <si>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</si>
  <si>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</si>
  <si>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</si>
  <si>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</si>
  <si>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</si>
  <si>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</si>
  <si>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</si>
  <si>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</si>
  <si>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</si>
  <si>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</si>
  <si>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</si>
  <si>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</si>
  <si>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</si>
  <si>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</si>
  <si>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</si>
  <si>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</si>
  <si>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</si>
  <si>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</si>
  <si>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</si>
  <si>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</si>
  <si>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</si>
  <si>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</si>
  <si>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</si>
  <si>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</si>
  <si>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</si>
  <si>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</si>
  <si>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</si>
  <si>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</si>
  <si>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</si>
  <si>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</si>
  <si>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</si>
  <si>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</si>
  <si>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</si>
  <si>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</si>
  <si>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</si>
  <si>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</si>
  <si>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</si>
  <si>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</si>
  <si>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</si>
  <si>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</si>
  <si>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</si>
  <si>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</si>
  <si>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</si>
  <si>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</si>
  <si>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</si>
  <si>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</si>
  <si>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</si>
  <si>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</si>
  <si>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</si>
  <si>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</si>
  <si>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</si>
  <si>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</si>
  <si>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</si>
  <si>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</si>
  <si>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</si>
  <si>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</si>
  <si>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</si>
  <si>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</si>
  <si>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</si>
  <si>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</si>
  <si>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</si>
  <si>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</si>
  <si>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</si>
  <si>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</si>
  <si>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</si>
  <si>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</si>
  <si>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</si>
  <si>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</si>
  <si>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</si>
  <si>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</si>
  <si>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</si>
  <si>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</si>
  <si>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</si>
  <si>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</si>
  <si>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</si>
  <si>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</si>
  <si>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</si>
  <si>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</si>
  <si>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</si>
  <si>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</si>
  <si>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</si>
  <si>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</si>
  <si>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</si>
  <si>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</si>
  <si>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</si>
  <si>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</si>
  <si>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</si>
  <si>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</si>
  <si>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</si>
  <si>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</si>
  <si>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</si>
  <si>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</si>
  <si>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</si>
  <si>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</si>
  <si>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</si>
  <si>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</si>
  <si>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</si>
  <si>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</si>
  <si>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</si>
  <si>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</si>
  <si>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</si>
  <si>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</si>
  <si>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</si>
  <si>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</si>
  <si>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</si>
  <si>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</si>
  <si>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</si>
  <si>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</si>
  <si>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</si>
  <si>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</si>
  <si>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</si>
  <si>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</si>
  <si>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</si>
  <si>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</si>
  <si>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</si>
  <si>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</si>
  <si>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</si>
  <si>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</si>
  <si>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</si>
  <si>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</si>
  <si>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</si>
  <si>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</si>
  <si>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</si>
  <si>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</si>
  <si>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</si>
  <si>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</si>
  <si>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</si>
  <si>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</si>
  <si>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</si>
  <si>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</si>
  <si>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</si>
  <si>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</si>
  <si>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</si>
  <si>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</si>
  <si>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</si>
  <si>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</si>
  <si>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</si>
  <si>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</si>
  <si>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</si>
  <si>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</si>
  <si>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</si>
  <si>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</si>
  <si>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</si>
  <si>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</si>
  <si>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</si>
  <si>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</si>
  <si>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</si>
  <si>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</si>
  <si>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</si>
  <si>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</si>
  <si>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</si>
  <si>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</si>
  <si>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</si>
  <si>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</si>
  <si>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</si>
  <si>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</si>
  <si>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</si>
  <si>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</si>
  <si>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</si>
  <si>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</si>
  <si>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</si>
  <si>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</si>
  <si>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</si>
  <si>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</si>
  <si>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</si>
  <si>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</si>
  <si>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</si>
  <si>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</si>
  <si>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</si>
  <si>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</si>
  <si>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</si>
  <si>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</si>
  <si>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</si>
  <si>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</si>
  <si>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</si>
  <si>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</si>
  <si>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</si>
  <si>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</si>
  <si>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</si>
  <si>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</si>
  <si>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</si>
  <si>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</si>
  <si>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</si>
  <si>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</si>
  <si>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</si>
  <si>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</si>
  <si>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</si>
  <si>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</si>
  <si>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</si>
  <si>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</si>
  <si>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</si>
  <si>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</si>
  <si>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</si>
  <si>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</si>
  <si>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</si>
  <si>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</si>
  <si>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</si>
  <si>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</si>
  <si>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</si>
  <si>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</si>
  <si>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</si>
  <si>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</si>
  <si>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</si>
  <si>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</si>
  <si>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</si>
  <si>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</si>
  <si>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</si>
  <si>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</si>
  <si>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</si>
  <si>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</si>
  <si>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</si>
  <si>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</si>
  <si>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</si>
  <si>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</si>
  <si>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</si>
  <si>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</si>
  <si>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</si>
  <si>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</si>
  <si>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</si>
  <si>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</si>
  <si>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</si>
  <si>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</si>
  <si>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</si>
  <si>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</si>
  <si>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</si>
  <si>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</si>
  <si>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</si>
  <si>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</si>
  <si>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</si>
  <si>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</si>
  <si>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</si>
  <si>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</si>
  <si>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</si>
  <si>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</si>
  <si>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</si>
  <si>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</si>
  <si>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</si>
  <si>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</si>
  <si>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</si>
  <si>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</si>
  <si>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</si>
  <si>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</si>
  <si>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</si>
  <si>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</si>
  <si>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</si>
  <si>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</si>
  <si>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</si>
  <si>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</si>
  <si>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</si>
  <si>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</si>
  <si>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</si>
  <si>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</si>
  <si>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</si>
  <si>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</si>
  <si>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</si>
  <si>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</si>
  <si>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</si>
  <si>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</si>
  <si>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</si>
  <si>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</si>
  <si>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</si>
  <si>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</si>
  <si>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</si>
  <si>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</si>
  <si>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</si>
  <si>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</si>
  <si>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</si>
  <si>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</si>
  <si>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</si>
  <si>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</si>
  <si>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</si>
  <si>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</si>
  <si>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</si>
  <si>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</si>
  <si>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</si>
  <si>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</si>
  <si>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</si>
  <si>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</si>
  <si>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</si>
  <si>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</si>
  <si>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</si>
  <si>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</si>
  <si>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</si>
  <si>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</si>
  <si>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</si>
  <si>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</si>
  <si>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</si>
  <si>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</si>
  <si>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</si>
  <si>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</si>
  <si>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</si>
  <si>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</si>
  <si>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</si>
  <si>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</si>
  <si>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</si>
  <si>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</si>
  <si>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</si>
  <si>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</si>
  <si>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</si>
  <si>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</si>
  <si>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</si>
  <si>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</si>
  <si>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</si>
  <si>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</si>
  <si>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</si>
  <si>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</si>
  <si>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</si>
  <si>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</si>
  <si>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</si>
  <si>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</si>
  <si>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</si>
  <si>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</si>
  <si>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</si>
  <si>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</si>
  <si>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</si>
  <si>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</si>
  <si>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</si>
  <si>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</si>
  <si>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</si>
  <si>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</si>
  <si>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</si>
  <si>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</si>
  <si>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</si>
  <si>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</si>
  <si>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</si>
  <si>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</si>
  <si>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</si>
  <si>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</si>
  <si>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</si>
  <si>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</si>
  <si>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</si>
  <si>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</si>
  <si>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</si>
  <si>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</si>
  <si>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</si>
  <si>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</si>
  <si>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</si>
  <si>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</si>
  <si>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</si>
  <si>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</si>
  <si>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</si>
  <si>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</si>
  <si>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</si>
  <si>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</si>
  <si>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</si>
  <si>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</si>
  <si>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</si>
  <si>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</si>
  <si>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</si>
  <si>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</si>
  <si>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</si>
  <si>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</si>
  <si>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</si>
  <si>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</si>
  <si>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</si>
  <si>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</si>
  <si>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</si>
  <si>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</si>
  <si>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</si>
  <si>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</si>
  <si>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</si>
  <si>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</si>
  <si>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</si>
  <si>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</si>
  <si>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</si>
  <si>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</si>
  <si>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</si>
  <si>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</si>
  <si>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</si>
  <si>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</si>
  <si>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</si>
  <si>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</si>
  <si>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</si>
  <si>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</si>
  <si>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</si>
  <si>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</si>
  <si>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</si>
  <si>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</si>
  <si>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</si>
  <si>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</si>
  <si>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</si>
  <si>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</si>
  <si>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</si>
  <si>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</si>
  <si>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</si>
  <si>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</si>
  <si>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</si>
  <si>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</si>
  <si>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</si>
  <si>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</si>
  <si>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</si>
  <si>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</si>
  <si>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</si>
  <si>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</si>
  <si>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</si>
  <si>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</si>
  <si>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</si>
  <si>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</si>
  <si>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</si>
  <si>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</si>
  <si>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</si>
  <si>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</si>
  <si>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</si>
  <si>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</si>
  <si>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</si>
  <si>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</si>
  <si>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</si>
  <si>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</si>
  <si>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</si>
  <si>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</si>
  <si>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</si>
  <si>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</si>
  <si>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</si>
  <si>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</si>
  <si>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</si>
  <si>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</si>
  <si>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</si>
  <si>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</si>
  <si>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</si>
  <si>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</si>
  <si>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</si>
  <si>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</si>
  <si>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</si>
  <si>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</si>
  <si>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</si>
  <si>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</si>
  <si>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</si>
  <si>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</si>
  <si>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</si>
  <si>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</si>
  <si>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</si>
  <si>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</si>
  <si>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</si>
  <si>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</si>
  <si>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</si>
  <si>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</si>
  <si>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</si>
  <si>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</si>
  <si>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</si>
  <si>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</si>
  <si>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</si>
  <si>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</si>
  <si>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</si>
  <si>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</si>
  <si>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</si>
  <si>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</si>
  <si>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</si>
  <si>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</si>
  <si>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</si>
  <si>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</si>
  <si>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</si>
  <si>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</si>
  <si>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</si>
  <si>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</si>
  <si>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</si>
  <si>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</si>
  <si>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</si>
  <si>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</si>
  <si>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</si>
  <si>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</si>
  <si>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</si>
  <si>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</si>
  <si>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</si>
  <si>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</si>
  <si>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</si>
  <si>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</si>
  <si>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</si>
  <si>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</si>
  <si>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</si>
  <si>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</si>
  <si>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</si>
  <si>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</si>
  <si>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</si>
  <si>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</si>
  <si>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</si>
  <si>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</si>
  <si>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</si>
  <si>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</si>
  <si>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</si>
  <si>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</si>
  <si>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</si>
  <si>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</si>
  <si>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</si>
  <si>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</si>
  <si>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</si>
  <si>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</si>
  <si>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</si>
  <si>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</si>
  <si>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</si>
  <si>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</si>
  <si>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</si>
  <si>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</si>
  <si>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</si>
  <si>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</si>
  <si>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</si>
  <si>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</si>
  <si>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</si>
  <si>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</si>
  <si>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</si>
  <si>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</si>
  <si>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</si>
  <si>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</si>
  <si>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</si>
  <si>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</si>
  <si>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</si>
  <si>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</si>
  <si>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</si>
  <si>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</si>
  <si>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</si>
  <si>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</si>
  <si>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</si>
  <si>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</si>
  <si>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</si>
  <si>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</si>
  <si>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</si>
  <si>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</si>
  <si>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</si>
  <si>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</si>
  <si>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</si>
  <si>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</si>
  <si>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</si>
  <si>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</si>
  <si>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</si>
  <si>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</si>
  <si>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</si>
  <si>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</si>
  <si>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</si>
  <si>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</si>
  <si>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</si>
  <si>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</si>
  <si>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</si>
  <si>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</si>
  <si>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</si>
  <si>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</si>
  <si>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</si>
  <si>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</si>
  <si>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</si>
  <si>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</si>
  <si>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</si>
  <si>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</si>
  <si>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</si>
  <si>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</si>
  <si>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</si>
  <si>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</si>
  <si>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</si>
  <si>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</si>
  <si>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</si>
  <si>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</si>
  <si>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</si>
  <si>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</si>
  <si>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</si>
  <si>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</si>
  <si>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</si>
  <si>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</si>
  <si>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</si>
  <si>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</si>
  <si>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</si>
  <si>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</si>
  <si>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</si>
  <si>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</si>
  <si>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</si>
  <si>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</si>
  <si>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</si>
  <si>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</si>
  <si>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</si>
  <si>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</si>
  <si>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</si>
  <si>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</si>
  <si>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</si>
  <si>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</si>
  <si>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</si>
  <si>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</si>
  <si>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</si>
  <si>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</si>
  <si>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</si>
  <si>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</si>
  <si>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</si>
  <si>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</si>
  <si>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</si>
  <si>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</si>
  <si>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</si>
  <si>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</si>
  <si>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</si>
  <si>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</si>
  <si>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</si>
  <si>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</si>
  <si>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</si>
  <si>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</si>
  <si>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</si>
  <si>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</si>
  <si>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</si>
  <si>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</si>
  <si>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</si>
  <si>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</si>
  <si>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</si>
  <si>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</si>
  <si>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</si>
  <si>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</si>
  <si>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</si>
  <si>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</si>
  <si>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</si>
  <si>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</si>
  <si>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</si>
  <si>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</si>
  <si>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</si>
  <si>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</si>
  <si>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</si>
  <si>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</si>
  <si>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</si>
  <si>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</si>
  <si>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</si>
  <si>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</si>
  <si>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</si>
  <si>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</si>
  <si>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</si>
  <si>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</si>
  <si>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</si>
  <si>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</si>
  <si>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</si>
  <si>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</si>
  <si>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</si>
  <si>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</si>
  <si>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</si>
  <si>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</si>
  <si>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</si>
  <si>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</si>
  <si>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</si>
  <si>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</si>
  <si>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</si>
  <si>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</si>
  <si>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</si>
  <si>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</si>
  <si>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</si>
  <si>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</si>
  <si>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</si>
  <si>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</si>
  <si>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</si>
  <si>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</si>
  <si>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</si>
  <si>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</si>
  <si>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</si>
  <si>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</si>
  <si>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</si>
  <si>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</si>
  <si>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</si>
  <si>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</si>
  <si>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</si>
  <si>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</si>
  <si>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</si>
  <si>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</si>
  <si>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</si>
  <si>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</si>
  <si>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</si>
  <si>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</si>
  <si>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</si>
  <si>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</si>
  <si>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</si>
  <si>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</si>
  <si>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</si>
  <si>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</si>
  <si>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</si>
  <si>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</si>
  <si>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</si>
  <si>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</si>
  <si>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</si>
  <si>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</si>
  <si>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</si>
  <si>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</si>
  <si>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</si>
  <si>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</si>
  <si>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</si>
  <si>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</si>
  <si>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</si>
  <si>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</si>
  <si>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</si>
  <si>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</si>
  <si>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</si>
  <si>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</si>
  <si>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</si>
  <si>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</si>
  <si>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</si>
  <si>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</si>
  <si>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</si>
  <si>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</si>
  <si>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</si>
  <si>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</si>
  <si>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</si>
  <si>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</si>
  <si>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</si>
  <si>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</si>
  <si>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</si>
  <si>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</si>
  <si>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</si>
  <si>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</si>
  <si>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</si>
  <si>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</si>
  <si>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</si>
  <si>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</si>
  <si>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</si>
  <si>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</si>
  <si>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</si>
  <si>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</si>
  <si>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</si>
  <si>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</si>
  <si>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</si>
  <si>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</si>
  <si>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</si>
  <si>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</si>
  <si>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</si>
  <si>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</si>
  <si>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</si>
  <si>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</si>
  <si>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</si>
  <si>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</si>
  <si>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</si>
  <si>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</si>
  <si>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</si>
  <si>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</si>
  <si>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</si>
  <si>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</si>
  <si>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</si>
  <si>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</si>
  <si>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</si>
  <si>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</si>
  <si>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</si>
  <si>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</si>
  <si>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</si>
  <si>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</si>
  <si>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</si>
  <si>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</si>
  <si>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</si>
  <si>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</si>
  <si>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</si>
  <si>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</si>
  <si>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</si>
  <si>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</si>
  <si>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</si>
  <si>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</si>
  <si>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</si>
  <si>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</si>
  <si>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</si>
  <si>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</si>
  <si>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</si>
  <si>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</si>
  <si>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</si>
  <si>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</si>
  <si>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</si>
  <si>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</si>
  <si>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</si>
  <si>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</si>
  <si>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</si>
  <si>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</si>
  <si>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</si>
  <si>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</si>
  <si>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</si>
  <si>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</si>
  <si>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</si>
  <si>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</si>
  <si>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</si>
  <si>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</si>
  <si>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</si>
  <si>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</si>
  <si>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</si>
  <si>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</si>
  <si>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</si>
  <si>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</si>
  <si>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</si>
  <si>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</si>
  <si>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</si>
  <si>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</si>
  <si>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</si>
  <si>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</si>
  <si>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</si>
  <si>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</si>
  <si>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</si>
  <si>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</si>
  <si>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</si>
  <si>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</si>
  <si>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</si>
  <si>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</si>
  <si>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</si>
  <si>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</si>
  <si>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</si>
  <si>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</si>
  <si>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</si>
  <si>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</si>
  <si>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</si>
  <si>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</si>
  <si>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</si>
  <si>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</si>
  <si>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</si>
  <si>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</si>
  <si>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</si>
  <si>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</si>
  <si>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</si>
  <si>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</si>
  <si>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</si>
  <si>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</si>
  <si>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</si>
  <si>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</si>
  <si>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</si>
  <si>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</si>
  <si>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</si>
  <si>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</si>
  <si>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</si>
  <si>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</si>
  <si>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</si>
  <si>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</si>
  <si>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</si>
  <si>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</si>
  <si>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</si>
  <si>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</si>
  <si>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</si>
  <si>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</si>
  <si>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</si>
  <si>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</si>
  <si>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</si>
  <si>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</si>
  <si>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</si>
  <si>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</si>
  <si>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</si>
  <si>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</si>
  <si>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</si>
  <si>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</si>
  <si>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</si>
  <si>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</si>
  <si>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</si>
  <si>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</si>
  <si>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</si>
  <si>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</si>
  <si>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</si>
  <si>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</si>
  <si>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</si>
  <si>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</si>
  <si>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</si>
  <si>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</si>
  <si>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</si>
  <si>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</si>
  <si>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</si>
  <si>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</si>
  <si>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</si>
  <si>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</si>
  <si>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</si>
  <si>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</si>
  <si>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</si>
  <si>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</si>
  <si>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</si>
  <si>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</si>
  <si>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</si>
  <si>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</si>
  <si>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</si>
  <si>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</si>
  <si>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</si>
  <si>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</si>
  <si>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</si>
  <si>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</si>
  <si>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</si>
  <si>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</si>
  <si>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</si>
  <si>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</si>
  <si>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</si>
  <si>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</si>
  <si>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</si>
  <si>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</si>
  <si>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</si>
  <si>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</si>
  <si>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</si>
  <si>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</si>
  <si>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</si>
  <si>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</si>
  <si>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</si>
  <si>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</si>
  <si>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</si>
  <si>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</si>
  <si>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</si>
  <si>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</si>
  <si>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</si>
  <si>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</si>
  <si>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</si>
  <si>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</si>
  <si>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</si>
  <si>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</si>
  <si>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</si>
  <si>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</si>
  <si>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</si>
  <si>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</si>
  <si>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</si>
  <si>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</si>
  <si>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</si>
  <si>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</si>
  <si>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</si>
  <si>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</si>
  <si>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</si>
  <si>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</si>
  <si>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</si>
  <si>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</si>
  <si>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</si>
  <si>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</si>
  <si>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</si>
  <si>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</si>
  <si>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</si>
  <si>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</si>
  <si>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</si>
  <si>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</si>
  <si>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</si>
  <si>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</si>
  <si>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</si>
  <si>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</si>
  <si>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</si>
  <si>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</si>
  <si>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</si>
  <si>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</si>
  <si>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</si>
  <si>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</si>
  <si>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</si>
  <si>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</si>
  <si>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</si>
  <si>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</si>
  <si>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</si>
  <si>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</si>
  <si>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</si>
  <si>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</si>
  <si>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</si>
  <si>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</si>
  <si>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</si>
  <si>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</si>
  <si>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</si>
  <si>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</si>
  <si>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</si>
  <si>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</si>
  <si>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</si>
  <si>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</si>
  <si>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</si>
  <si>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</si>
  <si>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</si>
  <si>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</si>
  <si>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</si>
  <si>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</si>
  <si>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</si>
  <si>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</si>
  <si>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</si>
  <si>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</si>
  <si>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</si>
  <si>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</si>
  <si>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</si>
  <si>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</si>
  <si>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</si>
  <si>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</si>
  <si>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</si>
  <si>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</si>
  <si>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</si>
  <si>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</si>
  <si>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</si>
  <si>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</si>
  <si>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</si>
  <si>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</si>
  <si>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</si>
  <si>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</si>
  <si>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</si>
  <si>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</si>
  <si>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</si>
  <si>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</si>
  <si>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</si>
  <si>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</si>
  <si>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</si>
  <si>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</si>
  <si>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</si>
  <si>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</si>
  <si>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</si>
  <si>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</si>
  <si>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</si>
  <si>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</si>
  <si>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</si>
  <si>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</si>
  <si>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</si>
  <si>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</si>
  <si>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</si>
  <si>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</si>
  <si>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</si>
  <si>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</si>
  <si>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</si>
  <si>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</si>
  <si>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</si>
  <si>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</si>
  <si>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</si>
  <si>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</si>
  <si>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</si>
  <si>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</si>
  <si>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</si>
  <si>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</si>
  <si>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</si>
  <si>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</si>
  <si>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</si>
  <si>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</si>
  <si>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</si>
  <si>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</si>
  <si>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</si>
  <si>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</si>
  <si>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</si>
  <si>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</si>
  <si>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</si>
  <si>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</si>
  <si>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</si>
  <si>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</si>
  <si>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</si>
  <si>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</si>
  <si>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</si>
  <si>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</si>
  <si>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</si>
  <si>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</si>
  <si>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</si>
  <si>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</si>
  <si>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</si>
  <si>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</si>
  <si>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</si>
  <si>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</si>
  <si>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</si>
  <si>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</si>
  <si>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</si>
  <si>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</si>
  <si>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</si>
  <si>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</si>
  <si>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</si>
  <si>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</si>
  <si>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</si>
  <si>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</si>
  <si>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</si>
  <si>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</si>
  <si>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</si>
  <si>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</si>
  <si>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</si>
  <si>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</si>
  <si>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</si>
  <si>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</si>
  <si>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</si>
  <si>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</si>
  <si>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</si>
  <si>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</si>
  <si>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</si>
  <si>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</si>
  <si>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</si>
  <si>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</si>
  <si>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</si>
  <si>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</si>
  <si>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</si>
  <si>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</si>
  <si>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</si>
  <si>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</si>
  <si>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</si>
  <si>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</si>
  <si>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</si>
  <si>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</si>
  <si>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</si>
  <si>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</si>
  <si>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</si>
  <si>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</si>
  <si>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</si>
  <si>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</si>
  <si>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</si>
  <si>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</si>
  <si>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</si>
  <si>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</si>
  <si>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</si>
  <si>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</si>
  <si>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</si>
  <si>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</si>
  <si>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</si>
  <si>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</si>
  <si>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</si>
  <si>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</si>
  <si>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</si>
  <si>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</si>
  <si>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</si>
  <si>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</si>
  <si>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</si>
  <si>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</si>
  <si>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</si>
  <si>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</si>
  <si>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</si>
  <si>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</si>
  <si>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</si>
  <si>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</si>
  <si>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</si>
  <si>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</si>
  <si>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</si>
  <si>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</si>
  <si>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</si>
  <si>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</si>
  <si>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</si>
  <si>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</si>
  <si>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</si>
  <si>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</si>
  <si>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</si>
  <si>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</si>
  <si>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</si>
  <si>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</si>
  <si>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</si>
  <si>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</si>
  <si>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</si>
  <si>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</si>
  <si>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</si>
  <si>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</si>
  <si>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</si>
  <si>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</si>
  <si>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</si>
  <si>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</si>
  <si>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</si>
  <si>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</si>
  <si>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</si>
  <si>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</si>
  <si>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</si>
  <si>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</si>
  <si>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</si>
  <si>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</si>
  <si>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</si>
  <si>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</si>
  <si>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</si>
  <si>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</si>
  <si>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</si>
  <si>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</si>
  <si>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</si>
  <si>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</si>
  <si>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</si>
  <si>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</si>
  <si>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</si>
  <si>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</si>
  <si>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</si>
  <si>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</si>
  <si>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</si>
  <si>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</si>
  <si>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</si>
  <si>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</si>
  <si>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</si>
  <si>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</si>
  <si>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</si>
  <si>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</si>
  <si>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</si>
  <si>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</si>
  <si>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</si>
  <si>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</si>
  <si>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</si>
  <si>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</si>
  <si>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</si>
  <si>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</si>
  <si>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</si>
  <si>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</si>
  <si>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</si>
  <si>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</si>
  <si>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</si>
  <si>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</si>
  <si>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</si>
  <si>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</si>
  <si>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</si>
  <si>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</si>
  <si>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</si>
  <si>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</si>
  <si>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</si>
  <si>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</si>
  <si>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</si>
  <si>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</si>
  <si>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</si>
  <si>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</si>
  <si>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</si>
  <si>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</si>
  <si>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</si>
  <si>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</si>
  <si>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</si>
  <si>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</si>
  <si>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</si>
  <si>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</si>
  <si>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</si>
  <si>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</si>
  <si>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</si>
  <si>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</si>
  <si>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</si>
  <si>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</si>
  <si>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</si>
  <si>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</si>
  <si>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</si>
  <si>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</si>
  <si>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</si>
  <si>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</si>
  <si>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</si>
  <si>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</si>
  <si>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</si>
  <si>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</si>
  <si>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</si>
  <si>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</si>
  <si>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</si>
  <si>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</si>
  <si>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</si>
  <si>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</si>
  <si>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</si>
  <si>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</si>
  <si>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</si>
  <si>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</si>
  <si>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</si>
  <si>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</si>
  <si>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</si>
  <si>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</si>
  <si>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</si>
  <si>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</si>
  <si>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</si>
  <si>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</si>
  <si>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</si>
  <si>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</si>
  <si>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</si>
  <si>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</si>
  <si>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</si>
  <si>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</si>
  <si>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</si>
  <si>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</si>
  <si>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</si>
  <si>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</si>
  <si>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</si>
  <si>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</si>
  <si>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</si>
  <si>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</si>
  <si>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</si>
  <si>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</si>
  <si>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</si>
  <si>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</si>
  <si>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</si>
  <si>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</si>
  <si>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</si>
  <si>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</si>
  <si>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</si>
  <si>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</si>
  <si>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</si>
  <si>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</si>
  <si>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</si>
  <si>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</si>
  <si>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</si>
  <si>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</si>
  <si>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</si>
  <si>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</si>
  <si>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</si>
  <si>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</si>
  <si>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</si>
  <si>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</si>
  <si>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</si>
  <si>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</si>
  <si>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</si>
  <si>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</si>
  <si>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</si>
  <si>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</si>
  <si>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</si>
  <si>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</si>
  <si>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</si>
  <si>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</si>
  <si>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</si>
  <si>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</si>
  <si>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</si>
  <si>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</si>
  <si>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</si>
  <si>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</si>
  <si>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</si>
  <si>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</si>
  <si>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</si>
  <si>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</si>
  <si>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</si>
  <si>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</si>
  <si>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</si>
  <si>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</si>
  <si>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</si>
  <si>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</si>
  <si>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</si>
  <si>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</si>
  <si>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</si>
  <si>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</si>
  <si>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</si>
  <si>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</si>
  <si>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</si>
  <si>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</si>
  <si>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</si>
  <si>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</si>
  <si>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</si>
  <si>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</si>
  <si>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</si>
  <si>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</si>
  <si>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</si>
  <si>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</si>
  <si>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</si>
  <si>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</si>
  <si>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</si>
  <si>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</si>
  <si>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</si>
  <si>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</si>
  <si>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</si>
  <si>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</si>
  <si>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</si>
  <si>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</si>
  <si>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</si>
  <si>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</si>
  <si>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</si>
  <si>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</si>
  <si>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</si>
  <si>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</si>
  <si>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</si>
  <si>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</si>
  <si>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</si>
  <si>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</si>
  <si>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</si>
  <si>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</si>
  <si>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</si>
  <si>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</si>
  <si>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</si>
  <si>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</si>
  <si>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</si>
  <si>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</si>
  <si>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</si>
  <si>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</si>
  <si>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</si>
  <si>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</si>
  <si>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</si>
  <si>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</si>
  <si>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</si>
  <si>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</si>
  <si>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</si>
  <si>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</si>
  <si>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</si>
  <si>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</si>
  <si>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</si>
  <si>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</si>
  <si>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</si>
  <si>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</si>
  <si>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</si>
  <si>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</si>
  <si>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</si>
  <si>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</si>
  <si>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</si>
  <si>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</si>
  <si>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</si>
  <si>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</si>
  <si>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</si>
  <si>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</si>
  <si>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</si>
  <si>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</si>
  <si>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</si>
  <si>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</si>
  <si>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</si>
  <si>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</si>
  <si>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</si>
  <si>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</si>
  <si>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</si>
  <si>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</si>
  <si>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</si>
  <si>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</si>
  <si>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</si>
  <si>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</si>
  <si>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</si>
  <si>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</si>
  <si>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</si>
  <si>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</si>
  <si>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</si>
  <si>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</si>
  <si>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</si>
  <si>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</si>
  <si>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</si>
  <si>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</si>
  <si>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</si>
  <si>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</si>
  <si>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</si>
  <si>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</si>
  <si>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</si>
  <si>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</si>
  <si>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</si>
  <si>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</si>
  <si>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</si>
  <si>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</si>
  <si>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</si>
  <si>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</si>
  <si>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</si>
  <si>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</si>
  <si>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</si>
  <si>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</si>
  <si>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</si>
  <si>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</si>
  <si>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</si>
  <si>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</si>
  <si>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</si>
  <si>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</si>
  <si>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</si>
  <si>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</si>
  <si>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</si>
  <si>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</si>
  <si>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</si>
  <si>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</si>
  <si>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</si>
  <si>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</si>
  <si>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</si>
  <si>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</si>
  <si>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</si>
  <si>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</si>
  <si>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</si>
  <si>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</si>
  <si>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</si>
  <si>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</si>
  <si>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</si>
  <si>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</si>
  <si>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</si>
  <si>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</si>
  <si>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</si>
  <si>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</si>
  <si>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</si>
  <si>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</si>
  <si>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</si>
  <si>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</si>
  <si>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</si>
  <si>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</si>
  <si>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</si>
  <si>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</si>
  <si>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</si>
  <si>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</si>
  <si>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</si>
  <si>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</si>
  <si>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</si>
  <si>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</si>
  <si>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</si>
  <si>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</si>
  <si>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</si>
  <si>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</si>
  <si>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</si>
  <si>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</si>
  <si>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</si>
  <si>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</si>
  <si>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</si>
  <si>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</si>
  <si>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</si>
  <si>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</si>
  <si>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</si>
  <si>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</si>
  <si>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</si>
  <si>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</si>
  <si>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</si>
  <si>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</si>
  <si>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</si>
  <si>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</si>
  <si>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</si>
  <si>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</si>
  <si>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</si>
  <si>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</si>
  <si>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</si>
  <si>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</si>
  <si>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</si>
  <si>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</si>
  <si>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</si>
  <si>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</si>
  <si>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</si>
  <si>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</si>
  <si>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</si>
  <si>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</si>
  <si>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</si>
  <si>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</si>
  <si>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</si>
  <si>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</si>
  <si>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</si>
  <si>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</si>
  <si>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</si>
  <si>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</si>
  <si>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</si>
  <si>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</si>
  <si>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</si>
  <si>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</si>
  <si>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</si>
  <si>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</si>
  <si>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</si>
  <si>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</si>
  <si>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</si>
  <si>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</si>
  <si>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</si>
  <si>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</si>
  <si>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</si>
  <si>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</si>
  <si>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</si>
  <si>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</si>
  <si>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</si>
  <si>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</si>
  <si>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</si>
  <si>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</si>
  <si>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</si>
  <si>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</si>
  <si>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</si>
  <si>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</si>
  <si>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</si>
  <si>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</si>
  <si>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</si>
  <si>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</si>
  <si>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</si>
  <si>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</si>
  <si>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</si>
  <si>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</si>
  <si>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</si>
  <si>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</si>
  <si>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</si>
  <si>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</si>
  <si>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</si>
  <si>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</si>
  <si>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</si>
  <si>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</si>
  <si>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</si>
  <si>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</si>
  <si>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</si>
  <si>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</si>
  <si>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</si>
  <si>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</si>
  <si>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</si>
  <si>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</si>
  <si>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</si>
  <si>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</si>
  <si>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</si>
  <si>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</si>
  <si>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</si>
  <si>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</si>
  <si>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</si>
  <si>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</si>
  <si>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</si>
  <si>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</si>
  <si>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</si>
  <si>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</si>
  <si>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</si>
  <si>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</si>
  <si>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</si>
  <si>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</si>
  <si>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</si>
  <si>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</si>
  <si>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</si>
  <si>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</si>
  <si>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</si>
  <si>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</si>
  <si>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</si>
  <si>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</si>
  <si>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</si>
  <si>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</si>
  <si>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</si>
  <si>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</si>
  <si>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</si>
  <si>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</si>
  <si>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</si>
  <si>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</si>
  <si>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</si>
  <si>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</si>
  <si>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</si>
  <si>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</si>
  <si>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</si>
  <si>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</si>
  <si>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</si>
  <si>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</si>
  <si>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</si>
  <si>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</si>
  <si>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</si>
  <si>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</si>
  <si>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</si>
  <si>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</si>
  <si>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</si>
  <si>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</si>
  <si>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</si>
  <si>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</si>
  <si>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</si>
  <si>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</si>
  <si>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</si>
  <si>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</si>
  <si>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</si>
  <si>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</si>
  <si>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</si>
  <si>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</si>
  <si>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</si>
  <si>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</si>
  <si>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</si>
  <si>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</si>
  <si>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</si>
  <si>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</si>
  <si>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</si>
  <si>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</si>
  <si>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</si>
  <si>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</si>
  <si>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</si>
  <si>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</si>
  <si>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</si>
  <si>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</si>
  <si>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</si>
  <si>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</si>
  <si>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</si>
  <si>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</si>
  <si>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</si>
  <si>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</si>
  <si>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</si>
  <si>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</si>
  <si>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</si>
  <si>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</si>
  <si>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</si>
  <si>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</si>
  <si>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</si>
  <si>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</si>
  <si>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</si>
  <si>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</si>
  <si>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</si>
  <si>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</si>
  <si>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</si>
  <si>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</si>
  <si>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</si>
  <si>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</si>
  <si>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</si>
  <si>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</si>
  <si>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</si>
  <si>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</si>
  <si>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</si>
  <si>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</si>
  <si>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</si>
  <si>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</si>
  <si>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</si>
  <si>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</si>
  <si>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</si>
  <si>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</si>
  <si>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</si>
  <si>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</si>
  <si>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</si>
  <si>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</si>
  <si>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</si>
  <si>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</si>
  <si>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</si>
  <si>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</si>
  <si>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</si>
  <si>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</si>
  <si>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</si>
  <si>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</si>
  <si>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</si>
  <si>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</si>
  <si>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</si>
  <si>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</si>
  <si>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</si>
  <si>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</si>
  <si>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</si>
  <si>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</si>
  <si>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</si>
  <si>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</si>
  <si>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</si>
  <si>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</si>
  <si>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</si>
  <si>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</si>
  <si>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</si>
  <si>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</si>
  <si>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</si>
  <si>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</si>
  <si>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</si>
  <si>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</si>
  <si>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</si>
  <si>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</si>
  <si>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</si>
  <si>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</si>
  <si>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</si>
  <si>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</si>
  <si>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</si>
  <si>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</si>
  <si>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</si>
  <si>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</si>
  <si>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</si>
  <si>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</si>
  <si>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</si>
  <si>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</si>
  <si>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</si>
  <si>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</si>
  <si>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</si>
  <si>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</si>
  <si>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</si>
  <si>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</si>
  <si>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</si>
  <si>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</si>
  <si>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</si>
  <si>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</si>
  <si>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</si>
  <si>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</si>
  <si>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</si>
  <si>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</si>
  <si>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</si>
  <si>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</si>
  <si>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</si>
  <si>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</si>
  <si>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</si>
  <si>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</si>
  <si>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</si>
  <si>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</si>
  <si>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</si>
  <si>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</si>
  <si>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</si>
  <si>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</si>
  <si>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</si>
  <si>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</si>
  <si>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</si>
  <si>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</si>
  <si>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</si>
  <si>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</si>
  <si>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</si>
  <si>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</si>
  <si>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</si>
  <si>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</si>
  <si>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</si>
  <si>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</si>
  <si>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</si>
  <si>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</si>
  <si>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</si>
  <si>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</si>
  <si>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</si>
  <si>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</si>
  <si>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</si>
  <si>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</si>
  <si>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</si>
  <si>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</si>
  <si>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</si>
  <si>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</si>
  <si>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</si>
  <si>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</si>
  <si>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</si>
  <si>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</si>
  <si>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</si>
  <si>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</si>
  <si>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</si>
  <si>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</si>
  <si>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</si>
  <si>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</si>
  <si>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</si>
  <si>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</si>
  <si>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</si>
  <si>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</si>
  <si>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</si>
  <si>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</si>
  <si>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</si>
  <si>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</si>
  <si>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</si>
  <si>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</si>
  <si>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</si>
  <si>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</si>
  <si>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</si>
  <si>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</si>
  <si>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</si>
  <si>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</si>
  <si>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</si>
  <si>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</si>
  <si>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</si>
  <si>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</si>
  <si>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</si>
  <si>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</si>
  <si>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</si>
  <si>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</si>
  <si>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</si>
  <si>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</si>
  <si>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</si>
  <si>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</si>
  <si>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</si>
  <si>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</si>
  <si>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</si>
  <si>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</si>
  <si>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</si>
  <si>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</si>
  <si>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</si>
  <si>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</si>
  <si>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</si>
  <si>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</si>
  <si>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</si>
  <si>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</si>
  <si>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</si>
  <si>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</si>
  <si>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</si>
  <si>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</si>
  <si>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</si>
  <si>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</si>
  <si>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</si>
  <si>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</si>
  <si>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</si>
  <si>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</si>
  <si>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</si>
  <si>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</si>
  <si>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</si>
  <si>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</si>
  <si>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</si>
  <si>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</si>
  <si>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</si>
  <si>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</si>
  <si>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</si>
  <si>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</si>
  <si>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</si>
  <si>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</si>
  <si>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</si>
  <si>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</si>
  <si>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</si>
  <si>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</si>
  <si>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</si>
  <si>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</si>
  <si>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</si>
  <si>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</si>
  <si>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</si>
  <si>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</si>
  <si>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</si>
  <si>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</si>
  <si>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</si>
  <si>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</si>
  <si>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</si>
  <si>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</si>
  <si>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</si>
  <si>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</si>
  <si>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</si>
  <si>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</si>
  <si>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</si>
  <si>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</si>
  <si>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</si>
  <si>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</si>
  <si>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</si>
  <si>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</si>
  <si>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</si>
  <si>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</si>
  <si>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</si>
  <si>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</si>
  <si>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</si>
  <si>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</si>
  <si>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</si>
  <si>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</si>
  <si>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</si>
  <si>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</si>
  <si>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</si>
  <si>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</si>
  <si>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</si>
  <si>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</si>
  <si>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</si>
  <si>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</si>
  <si>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</si>
  <si>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</si>
  <si>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</si>
  <si>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</si>
  <si>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</si>
  <si>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</si>
  <si>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</si>
  <si>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</si>
  <si>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</si>
  <si>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</si>
  <si>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</si>
  <si>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</si>
  <si>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</si>
  <si>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</si>
  <si>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</si>
  <si>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</si>
  <si>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</si>
  <si>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</si>
  <si>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</si>
  <si>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</si>
  <si>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</si>
  <si>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</si>
  <si>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</si>
  <si>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</si>
  <si>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</si>
  <si>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</si>
  <si>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</si>
  <si>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</si>
  <si>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</si>
  <si>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</si>
  <si>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</si>
  <si>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</si>
  <si>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</si>
  <si>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</si>
  <si>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</si>
  <si>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</si>
  <si>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</si>
  <si>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</si>
  <si>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</si>
  <si>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</si>
  <si>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</si>
  <si>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</si>
  <si>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</si>
  <si>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</si>
  <si>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</si>
  <si>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</si>
  <si>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</si>
  <si>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</si>
  <si>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</si>
  <si>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</si>
  <si>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</si>
  <si>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</si>
  <si>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</si>
  <si>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</si>
  <si>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</si>
  <si>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</si>
  <si>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</si>
  <si>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</si>
  <si>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</si>
  <si>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</si>
  <si>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</si>
  <si>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</si>
  <si>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</si>
  <si>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</si>
  <si>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</si>
  <si>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</si>
  <si>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</si>
  <si>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</si>
  <si>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</si>
  <si>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</si>
  <si>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</si>
  <si>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</si>
  <si>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</si>
  <si>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</si>
  <si>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</si>
  <si>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</si>
  <si>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</si>
  <si>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</si>
  <si>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</si>
  <si>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</si>
  <si>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</si>
  <si>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</si>
  <si>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</si>
  <si>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</si>
  <si>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</si>
  <si>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</si>
  <si>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</si>
  <si>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</si>
  <si>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</si>
  <si>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</si>
  <si>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</si>
  <si>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</si>
  <si>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</si>
  <si>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</si>
  <si>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</si>
  <si>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</si>
  <si>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</si>
  <si>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</si>
  <si>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</si>
  <si>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</si>
  <si>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</si>
  <si>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</si>
  <si>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</si>
  <si>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</si>
  <si>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</si>
  <si>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</si>
  <si>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</si>
  <si>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</si>
  <si>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</si>
  <si>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</si>
  <si>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</si>
  <si>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</si>
  <si>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</si>
  <si>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</si>
  <si>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</si>
  <si>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</si>
  <si>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</si>
  <si>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</si>
  <si>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</si>
  <si>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</si>
  <si>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</si>
  <si>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</si>
  <si>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</si>
  <si>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</si>
  <si>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</si>
  <si>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</si>
  <si>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</si>
  <si>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</si>
  <si>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</si>
  <si>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</si>
  <si>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</si>
  <si>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</si>
  <si>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</si>
  <si>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</si>
  <si>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</si>
  <si>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</si>
  <si>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</si>
  <si>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</si>
  <si>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</si>
  <si>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</si>
  <si>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</si>
  <si>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</si>
  <si>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</si>
  <si>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</si>
  <si>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</si>
  <si>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</si>
  <si>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</si>
  <si>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</si>
  <si>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</si>
  <si>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</si>
  <si>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</si>
  <si>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</si>
  <si>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</si>
  <si>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</si>
  <si>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</si>
  <si>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</si>
  <si>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</si>
  <si>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</si>
  <si>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</si>
  <si>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</si>
  <si>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</si>
  <si>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</si>
  <si>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</si>
  <si>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</si>
  <si>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</si>
  <si>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</si>
  <si>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</si>
  <si>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</si>
  <si>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</si>
  <si>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</si>
  <si>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</si>
  <si>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</si>
  <si>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</si>
  <si>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</si>
  <si>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</si>
  <si>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</si>
  <si>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</si>
  <si>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</si>
  <si>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</si>
  <si>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</si>
  <si>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</si>
  <si>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</si>
  <si>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</si>
  <si>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</si>
  <si>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</si>
  <si>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</si>
  <si>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</si>
  <si>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</si>
  <si>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</si>
  <si>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</si>
  <si>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</si>
  <si>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</si>
  <si>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</si>
  <si>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</si>
  <si>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</si>
  <si>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</si>
  <si>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</si>
  <si>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</si>
  <si>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</si>
  <si>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</si>
  <si>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</si>
  <si>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</si>
  <si>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</si>
  <si>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</si>
  <si>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</si>
  <si>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</si>
  <si>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</si>
  <si>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</si>
  <si>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</si>
  <si>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</si>
  <si>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</si>
  <si>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</si>
  <si>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</si>
  <si>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</si>
  <si>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</si>
  <si>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</si>
  <si>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</si>
  <si>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</si>
  <si>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</si>
  <si>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</si>
  <si>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</si>
  <si>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</si>
  <si>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</si>
  <si>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</si>
  <si>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</si>
  <si>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</si>
  <si>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</si>
  <si>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</si>
  <si>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</si>
  <si>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</si>
  <si>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</si>
  <si>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</si>
  <si>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</si>
  <si>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</si>
  <si>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</si>
  <si>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</si>
  <si>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</si>
  <si>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</si>
  <si>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</si>
  <si>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</si>
  <si>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</si>
  <si>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</si>
  <si>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</si>
  <si>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</si>
  <si>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</si>
  <si>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</si>
  <si>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</si>
  <si>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</si>
  <si>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</si>
  <si>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</si>
  <si>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</si>
  <si>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</si>
  <si>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</si>
  <si>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</si>
  <si>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</si>
  <si>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</si>
  <si>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</si>
  <si>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</si>
  <si>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</si>
  <si>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</si>
  <si>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</si>
  <si>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</si>
  <si>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</si>
  <si>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</si>
  <si>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</si>
  <si>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</si>
  <si>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</si>
  <si>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</si>
  <si>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</si>
  <si>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</si>
  <si>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</si>
  <si>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</si>
  <si>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</si>
  <si>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</si>
  <si>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</si>
  <si>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</si>
  <si>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</si>
  <si>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</si>
  <si>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</si>
  <si>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</si>
  <si>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</si>
  <si>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</si>
  <si>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</si>
  <si>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</si>
  <si>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</si>
  <si>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</si>
  <si>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</si>
  <si>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</si>
  <si>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</si>
  <si>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</si>
  <si>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</si>
  <si>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</si>
  <si>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</si>
  <si>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</si>
  <si>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</si>
  <si>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</si>
  <si>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</si>
  <si>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</si>
  <si>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</si>
  <si>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</si>
  <si>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</si>
  <si>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</si>
  <si>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</si>
  <si>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</si>
  <si>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</si>
  <si>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</si>
  <si>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</si>
  <si>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</si>
  <si>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</si>
  <si>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</si>
  <si>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</si>
  <si>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</si>
  <si>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</si>
  <si>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</si>
  <si>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</si>
  <si>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</si>
  <si>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</si>
  <si>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</si>
  <si>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</si>
  <si>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</si>
  <si>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</si>
  <si>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</si>
  <si>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</si>
  <si>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</si>
  <si>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</si>
  <si>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</si>
  <si>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</si>
  <si>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</si>
  <si>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</si>
  <si>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</si>
  <si>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</si>
  <si>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</si>
  <si>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</si>
  <si>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</si>
  <si>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</si>
  <si>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</si>
  <si>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</si>
  <si>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</si>
  <si>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</si>
  <si>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</si>
  <si>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</si>
  <si>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</si>
  <si>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</si>
  <si>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</si>
  <si>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</si>
  <si>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</si>
  <si>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</si>
  <si>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</si>
  <si>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</si>
  <si>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</si>
  <si>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</si>
  <si>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</si>
  <si>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</si>
  <si>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</si>
  <si>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</si>
  <si>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</si>
  <si>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</si>
  <si>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</si>
  <si>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</si>
  <si>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</si>
  <si>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</si>
  <si>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</si>
  <si>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</si>
  <si>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</si>
  <si>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</si>
  <si>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</si>
  <si>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</si>
  <si>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</si>
  <si>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</si>
  <si>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</si>
  <si>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</si>
  <si>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</si>
  <si>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</si>
  <si>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</si>
  <si>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</si>
  <si>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</si>
  <si>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</si>
  <si>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</si>
  <si>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</si>
  <si>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</si>
  <si>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</si>
  <si>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</si>
  <si>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</si>
  <si>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</si>
  <si>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</si>
  <si>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</si>
  <si>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</si>
  <si>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</si>
  <si>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</si>
  <si>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</si>
  <si>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</si>
  <si>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</si>
  <si>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</si>
  <si>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</si>
  <si>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</si>
  <si>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</si>
  <si>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</si>
  <si>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</si>
  <si>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</si>
  <si>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</si>
  <si>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</si>
  <si>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</si>
  <si>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</si>
  <si>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</si>
  <si>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</si>
  <si>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</si>
  <si>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</si>
  <si>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</si>
  <si>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</si>
  <si>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</si>
  <si>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</si>
  <si>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</si>
  <si>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</si>
  <si>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</si>
  <si>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</si>
  <si>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</si>
  <si>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</si>
  <si>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</si>
  <si>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</si>
  <si>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</si>
  <si>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</si>
  <si>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</si>
  <si>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</si>
  <si>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</si>
  <si>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</si>
  <si>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</si>
  <si>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</si>
  <si>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</si>
  <si>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</si>
  <si>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</si>
  <si>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</si>
  <si>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</si>
  <si>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</si>
  <si>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</si>
  <si>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</si>
  <si>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</si>
  <si>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</si>
  <si>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</si>
  <si>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</si>
  <si>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</si>
  <si>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</si>
  <si>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</si>
  <si>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</si>
  <si>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</si>
  <si>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</si>
  <si>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</si>
  <si>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</si>
  <si>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</si>
  <si>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</si>
  <si>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</si>
  <si>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</si>
  <si>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</si>
  <si>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</si>
  <si>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</si>
  <si>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</si>
  <si>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</si>
  <si>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</si>
  <si>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</si>
  <si>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</si>
  <si>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</si>
  <si>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</si>
  <si>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</si>
  <si>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</si>
  <si>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</si>
  <si>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</si>
  <si>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</si>
  <si>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</si>
  <si>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</si>
  <si>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</si>
  <si>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</si>
  <si>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</si>
  <si>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</si>
  <si>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</si>
  <si>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</si>
  <si>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</si>
  <si>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</si>
  <si>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</si>
  <si>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</si>
  <si>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</si>
  <si>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</si>
  <si>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</si>
  <si>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</si>
  <si>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</si>
  <si>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</si>
  <si>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</si>
  <si>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</si>
  <si>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</si>
  <si>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</si>
  <si>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</si>
  <si>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</si>
  <si>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</si>
  <si>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</si>
  <si>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</si>
  <si>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</si>
  <si>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</si>
  <si>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</si>
  <si>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</si>
  <si>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</si>
  <si>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</si>
  <si>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</si>
  <si>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</si>
  <si>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</si>
  <si>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</si>
  <si>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</si>
  <si>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</si>
  <si>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</si>
  <si>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</si>
  <si>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</si>
  <si>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</si>
  <si>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</si>
  <si>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</si>
  <si>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</si>
  <si>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</si>
  <si>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</si>
  <si>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</si>
  <si>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</si>
  <si>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</si>
  <si>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</si>
  <si>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</si>
  <si>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</si>
  <si>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</si>
  <si>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</si>
  <si>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</si>
  <si>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</si>
  <si>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</si>
  <si>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</si>
  <si>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</si>
  <si>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</si>
  <si>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</si>
  <si>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</si>
  <si>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</si>
  <si>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</si>
  <si>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</si>
  <si>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</si>
  <si>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</si>
  <si>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</si>
  <si>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</si>
  <si>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</si>
  <si>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</si>
  <si>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</si>
  <si>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</si>
  <si>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</si>
  <si>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</si>
  <si>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</si>
  <si>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</si>
  <si>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</si>
  <si>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</si>
  <si>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</si>
  <si>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</si>
  <si>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</si>
  <si>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</si>
  <si>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</si>
  <si>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</si>
  <si>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</si>
  <si>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</si>
  <si>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</si>
  <si>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</si>
  <si>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</si>
  <si>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</si>
  <si>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</si>
  <si>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</si>
  <si>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</si>
  <si>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</si>
  <si>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</si>
  <si>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</si>
  <si>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</si>
  <si>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</si>
  <si>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</si>
  <si>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</si>
  <si>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</si>
  <si>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</si>
  <si>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</si>
  <si>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</si>
  <si>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</si>
  <si>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</si>
  <si>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</si>
  <si>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</si>
  <si>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</si>
  <si>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</si>
  <si>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</si>
  <si>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</si>
  <si>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</si>
  <si>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</si>
  <si>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</si>
  <si>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</si>
  <si>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</si>
  <si>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</si>
  <si>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</si>
  <si>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</si>
  <si>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</si>
  <si>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</si>
  <si>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</si>
  <si>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</si>
  <si>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</si>
  <si>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</si>
  <si>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</si>
  <si>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</si>
  <si>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</si>
  <si>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</si>
  <si>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</si>
  <si>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</si>
  <si>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</si>
  <si>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</si>
  <si>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</si>
  <si>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</si>
  <si>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</si>
  <si>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</si>
  <si>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</si>
  <si>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</si>
  <si>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</si>
  <si>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</si>
  <si>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</si>
  <si>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</si>
  <si>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</si>
  <si>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</si>
  <si>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</si>
  <si>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</si>
  <si>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</si>
  <si>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</si>
  <si>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</si>
  <si>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</si>
  <si>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</si>
  <si>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</si>
  <si>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</si>
  <si>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</si>
  <si>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</si>
  <si>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</si>
  <si>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</si>
  <si>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</si>
  <si>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</si>
  <si>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</si>
  <si>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</si>
  <si>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</si>
  <si>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</si>
  <si>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</si>
  <si>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</si>
  <si>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</si>
  <si>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</si>
  <si>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</si>
  <si>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</si>
  <si>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</si>
  <si>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</si>
  <si>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</si>
  <si>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</si>
  <si>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</si>
  <si>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</si>
  <si>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</si>
  <si>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</si>
  <si>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</si>
  <si>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</si>
  <si>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</si>
  <si>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</si>
  <si>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</si>
  <si>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</si>
  <si>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</si>
  <si>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</si>
  <si>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</si>
  <si>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</si>
  <si>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</si>
  <si>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</si>
  <si>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</si>
  <si>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</si>
  <si>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</si>
  <si>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</si>
  <si>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</si>
  <si>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</si>
  <si>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</si>
  <si>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</si>
  <si>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</si>
  <si>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</si>
  <si>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</si>
  <si>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</si>
  <si>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</si>
  <si>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</si>
  <si>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</si>
  <si>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</si>
  <si>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</si>
  <si>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</si>
  <si>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</si>
  <si>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</si>
  <si>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</si>
  <si>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</si>
  <si>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</si>
  <si>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</si>
  <si>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</si>
  <si>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</si>
  <si>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</si>
  <si>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</si>
  <si>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</si>
  <si>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</si>
  <si>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</si>
  <si>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</si>
  <si>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</si>
  <si>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</si>
  <si>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</si>
  <si>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</si>
  <si>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</si>
  <si>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</si>
  <si>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</si>
  <si>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</si>
  <si>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</si>
  <si>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</si>
  <si>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</si>
  <si>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</si>
  <si>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</si>
  <si>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</si>
  <si>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</si>
  <si>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</si>
  <si>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</si>
  <si>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</si>
  <si>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</si>
  <si>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</si>
  <si>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</si>
  <si>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</si>
  <si>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</si>
  <si>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</si>
  <si>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</si>
  <si>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</si>
  <si>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</si>
  <si>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</si>
  <si>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</si>
  <si>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</si>
  <si>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</si>
  <si>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</si>
  <si>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</si>
  <si>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</si>
  <si>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</si>
  <si>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</si>
  <si>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</si>
  <si>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</si>
  <si>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</si>
  <si>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</si>
  <si>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</si>
  <si>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</si>
  <si>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</si>
  <si>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</si>
  <si>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</si>
  <si>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</si>
  <si>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</si>
  <si>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</si>
  <si>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</si>
  <si>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</si>
  <si>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</si>
  <si>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</si>
  <si>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</si>
  <si>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</si>
  <si>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</si>
  <si>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</si>
  <si>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</si>
  <si>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</si>
  <si>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</si>
  <si>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</si>
  <si>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</si>
  <si>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</si>
  <si>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</si>
  <si>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</si>
  <si>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</si>
  <si>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</si>
  <si>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</si>
  <si>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</si>
  <si>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</si>
  <si>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</si>
  <si>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</si>
  <si>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</si>
  <si>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</si>
  <si>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</si>
  <si>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</si>
  <si>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</si>
  <si>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</si>
  <si>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</si>
  <si>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</si>
  <si>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</si>
  <si>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</si>
  <si>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</si>
  <si>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</si>
  <si>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</si>
  <si>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</si>
  <si>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</si>
  <si>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</si>
  <si>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</si>
  <si>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</si>
  <si>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</si>
  <si>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</si>
  <si>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</si>
  <si>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</si>
  <si>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</si>
  <si>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</si>
  <si>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</si>
  <si>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</si>
  <si>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</si>
  <si>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</si>
  <si>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</si>
  <si>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</si>
  <si>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</si>
  <si>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</si>
  <si>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</si>
  <si>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</si>
  <si>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</si>
  <si>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</si>
  <si>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</si>
  <si>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</si>
  <si>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</si>
  <si>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</si>
  <si>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</si>
  <si>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</si>
  <si>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</si>
  <si>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</si>
  <si>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</si>
  <si>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</si>
  <si>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</si>
  <si>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</si>
  <si>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</si>
  <si>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</si>
  <si>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</si>
  <si>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</si>
  <si>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</si>
  <si>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</si>
  <si>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</si>
  <si>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</si>
  <si>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</si>
  <si>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</si>
  <si>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</si>
  <si>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</si>
  <si>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</si>
  <si>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</si>
  <si>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</si>
  <si>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</si>
  <si>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</si>
  <si>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</si>
  <si>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</si>
  <si>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</si>
  <si>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</si>
  <si>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</si>
  <si>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</si>
  <si>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</si>
  <si>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</si>
  <si>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</si>
  <si>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</si>
  <si>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</si>
  <si>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</si>
  <si>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</si>
  <si>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</si>
  <si>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</si>
  <si>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</si>
  <si>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</si>
  <si>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</si>
  <si>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</si>
  <si>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</si>
  <si>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</si>
  <si>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</si>
  <si>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</si>
  <si>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</si>
  <si>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</si>
  <si>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</si>
  <si>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</si>
  <si>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</si>
  <si>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</si>
  <si>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</si>
  <si>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</si>
  <si>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</si>
  <si>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</si>
  <si>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</si>
  <si>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</si>
  <si>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</si>
  <si>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</si>
  <si>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</si>
  <si>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</si>
  <si>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</si>
  <si>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</si>
  <si>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</si>
  <si>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</si>
  <si>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</si>
  <si>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</si>
  <si>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</si>
  <si>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</si>
  <si>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</si>
  <si>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</si>
  <si>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</si>
  <si>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</si>
  <si>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</si>
  <si>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</si>
  <si>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</si>
  <si>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</si>
  <si>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</si>
  <si>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</si>
  <si>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</si>
  <si>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</si>
  <si>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</si>
  <si>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</si>
  <si>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</si>
  <si>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</si>
  <si>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</si>
  <si>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</si>
  <si>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</si>
  <si>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</si>
  <si>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</si>
  <si>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</si>
  <si>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</si>
  <si>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</si>
  <si>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</si>
  <si>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</si>
  <si>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</si>
  <si>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</si>
  <si>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</si>
  <si>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</si>
  <si>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</si>
  <si>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</si>
  <si>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</si>
  <si>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</si>
  <si>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</si>
  <si>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</si>
  <si>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</si>
  <si>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</si>
  <si>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</si>
  <si>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</si>
  <si>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</si>
  <si>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</si>
  <si>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</si>
  <si>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</si>
  <si>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</si>
  <si>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</si>
  <si>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</si>
  <si>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</si>
  <si>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</si>
  <si>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</si>
  <si>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</si>
  <si>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</si>
  <si>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</si>
  <si>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</si>
  <si>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</si>
  <si>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</si>
  <si>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</si>
  <si>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</si>
  <si>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</si>
  <si>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</si>
  <si>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</si>
  <si>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</si>
  <si>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</si>
  <si>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</si>
  <si>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</si>
  <si>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</si>
  <si>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</si>
  <si>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</si>
  <si>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</si>
  <si>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</si>
  <si>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</si>
  <si>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</si>
  <si>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</si>
  <si>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</si>
  <si>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</si>
  <si>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</si>
  <si>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</si>
  <si>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</si>
  <si>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</si>
  <si>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</si>
  <si>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</si>
  <si>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</si>
  <si>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</si>
  <si>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</si>
  <si>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</si>
  <si>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</si>
  <si>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</si>
  <si>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</si>
  <si>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</si>
  <si>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</si>
  <si>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</si>
  <si>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</si>
  <si>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</si>
  <si>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</si>
  <si>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</si>
  <si>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</si>
  <si>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</si>
  <si>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</si>
  <si>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</si>
  <si>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</si>
  <si>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</si>
  <si>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</si>
  <si>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</si>
  <si>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</si>
  <si>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</si>
  <si>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</si>
  <si>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</si>
  <si>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</si>
  <si>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</si>
  <si>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</si>
  <si>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</si>
  <si>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</si>
  <si>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</si>
  <si>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</si>
  <si>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</si>
  <si>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</si>
  <si>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</si>
  <si>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</si>
  <si>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</si>
  <si>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</si>
  <si>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</si>
  <si>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</si>
  <si>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</si>
  <si>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</si>
  <si>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</si>
  <si>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</si>
  <si>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</si>
  <si>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</si>
  <si>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</si>
  <si>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</si>
  <si>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</si>
  <si>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</si>
  <si>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</si>
  <si>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</si>
  <si>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</si>
  <si>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</si>
  <si>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</si>
  <si>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</si>
  <si>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</si>
  <si>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</si>
  <si>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</si>
  <si>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</si>
  <si>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</si>
  <si>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</si>
  <si>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</si>
  <si>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</si>
  <si>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</si>
  <si>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</si>
  <si>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</si>
  <si>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</si>
  <si>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</si>
  <si>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</si>
  <si>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</si>
  <si>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</si>
  <si>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</si>
  <si>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</si>
  <si>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</si>
  <si>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</si>
  <si>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</si>
  <si>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</si>
  <si>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</si>
  <si>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</si>
  <si>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</si>
  <si>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</si>
  <si>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</si>
  <si>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</si>
  <si>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</si>
  <si>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</si>
  <si>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</si>
  <si>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</si>
  <si>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</si>
  <si>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</si>
  <si>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</si>
  <si>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</si>
  <si>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</si>
  <si>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</si>
  <si>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</si>
  <si>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</si>
  <si>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</si>
  <si>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</si>
  <si>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</si>
  <si>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</si>
  <si>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</si>
  <si>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</si>
  <si>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</si>
  <si>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</si>
  <si>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</si>
  <si>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</si>
  <si>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</si>
  <si>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</si>
  <si>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</si>
  <si>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</si>
  <si>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</si>
  <si>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</si>
  <si>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</si>
  <si>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</si>
  <si>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</si>
  <si>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</si>
  <si>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</si>
  <si>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</si>
  <si>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</si>
  <si>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</si>
  <si>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</si>
  <si>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</si>
  <si>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</si>
  <si>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</si>
  <si>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</si>
  <si>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</si>
  <si>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</si>
  <si>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</si>
  <si>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</si>
  <si>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</si>
  <si>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</si>
  <si>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</si>
  <si>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</si>
  <si>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</si>
  <si>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</si>
  <si>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</si>
  <si>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</si>
  <si>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</si>
  <si>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</si>
  <si>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</si>
  <si>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</si>
  <si>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</si>
  <si>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</si>
  <si>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</si>
  <si>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</si>
  <si>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</si>
  <si>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</si>
  <si>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</si>
  <si>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</si>
  <si>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</si>
  <si>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</si>
  <si>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</si>
  <si>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</si>
  <si>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</si>
  <si>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</si>
  <si>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</si>
  <si>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</si>
  <si>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</si>
  <si>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</si>
  <si>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</si>
  <si>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</si>
  <si>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</si>
  <si>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</si>
  <si>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</si>
  <si>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</si>
  <si>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</si>
  <si>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</si>
  <si>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</si>
  <si>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</si>
  <si>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</si>
  <si>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</si>
  <si>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</si>
  <si>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</si>
  <si>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</si>
  <si>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</si>
  <si>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</si>
  <si>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</si>
  <si>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</si>
  <si>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</si>
  <si>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</si>
  <si>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</si>
  <si>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</si>
  <si>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</si>
  <si>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</si>
  <si>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</si>
  <si>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</si>
  <si>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</si>
  <si>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</si>
  <si>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</si>
  <si>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</si>
  <si>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</si>
  <si>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</si>
  <si>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</si>
  <si>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</si>
  <si>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</si>
  <si>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</si>
  <si>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</si>
  <si>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</si>
  <si>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</si>
  <si>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</si>
  <si>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</si>
  <si>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</si>
  <si>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</si>
  <si>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</si>
  <si>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</si>
  <si>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</si>
  <si>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</si>
  <si>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</si>
  <si>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</si>
  <si>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</si>
  <si>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</si>
  <si>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</si>
  <si>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</si>
  <si>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</si>
  <si>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</si>
  <si>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</si>
  <si>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</si>
  <si>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</si>
  <si>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</si>
  <si>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</si>
  <si>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</si>
  <si>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</si>
  <si>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</si>
  <si>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</si>
  <si>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</si>
  <si>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</si>
  <si>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</si>
  <si>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</si>
  <si>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</si>
  <si>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</si>
  <si>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</si>
  <si>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</si>
  <si>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</si>
  <si>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</si>
  <si>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</si>
  <si>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</si>
  <si>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</si>
  <si>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</si>
  <si>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</si>
  <si>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</si>
  <si>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</si>
  <si>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</si>
  <si>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</si>
  <si>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</si>
  <si>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</si>
  <si>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</si>
  <si>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</si>
  <si>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</si>
  <si>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</si>
  <si>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</si>
  <si>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</si>
  <si>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</si>
  <si>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</si>
  <si>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</si>
  <si>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</si>
  <si>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</si>
  <si>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</si>
  <si>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</si>
  <si>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</si>
  <si>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</si>
  <si>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</si>
  <si>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</si>
  <si>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</si>
  <si>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</si>
  <si>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</si>
  <si>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</si>
  <si>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</si>
  <si>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</si>
  <si>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</si>
  <si>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</si>
  <si>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</si>
  <si>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</si>
  <si>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</si>
  <si>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</si>
  <si>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</si>
  <si>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</si>
  <si>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</si>
  <si>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</si>
  <si>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</si>
  <si>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</si>
  <si>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</si>
  <si>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</si>
  <si>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</si>
  <si>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</si>
  <si>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</si>
  <si>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</si>
  <si>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</si>
  <si>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</si>
  <si>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</si>
  <si>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</si>
  <si>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</si>
  <si>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</si>
  <si>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</si>
  <si>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</si>
  <si>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</si>
  <si>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</si>
  <si>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</si>
  <si>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</si>
  <si>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</si>
  <si>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</si>
  <si>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</si>
  <si>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</si>
  <si>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</si>
  <si>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</si>
  <si>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</si>
  <si>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</si>
  <si>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</si>
  <si>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</si>
  <si>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</si>
  <si>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</si>
  <si>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</si>
  <si>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</si>
  <si>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</si>
  <si>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</si>
  <si>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</si>
  <si>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</si>
  <si>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</si>
  <si>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</si>
  <si>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</si>
  <si>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</si>
  <si>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</si>
  <si>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</si>
  <si>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</si>
  <si>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</si>
  <si>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</si>
  <si>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</si>
  <si>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</si>
  <si>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</si>
  <si>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</si>
  <si>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</si>
  <si>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</si>
  <si>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</si>
  <si>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</si>
  <si>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</si>
  <si>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</si>
  <si>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</si>
  <si>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</si>
  <si>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</si>
  <si>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</si>
  <si>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</si>
  <si>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</si>
  <si>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</si>
  <si>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</si>
  <si>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</si>
  <si>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</si>
  <si>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</si>
  <si>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</si>
  <si>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</si>
  <si>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</si>
  <si>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</si>
  <si>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</si>
  <si>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</si>
  <si>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</si>
  <si>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</si>
  <si>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</si>
  <si>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</si>
  <si>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</si>
  <si>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</si>
  <si>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</si>
  <si>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</si>
  <si>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</si>
  <si>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</si>
  <si>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</si>
  <si>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</si>
  <si>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</si>
  <si>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</si>
  <si>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</si>
  <si>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</si>
  <si>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</si>
  <si>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</si>
  <si>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</si>
  <si>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</si>
  <si>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</si>
  <si>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</si>
  <si>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</si>
  <si>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</si>
  <si>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</si>
  <si>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</si>
  <si>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</si>
  <si>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</si>
  <si>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</si>
  <si>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</si>
  <si>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</si>
  <si>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</si>
  <si>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</si>
  <si>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</si>
  <si>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</si>
  <si>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</si>
  <si>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</si>
  <si>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</si>
  <si>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</si>
  <si>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</si>
  <si>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</si>
  <si>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</si>
  <si>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</si>
  <si>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</si>
  <si>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</si>
  <si>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</si>
  <si>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</si>
  <si>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</si>
  <si>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</si>
  <si>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</si>
  <si>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</si>
  <si>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</si>
  <si>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</si>
  <si>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</si>
  <si>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</si>
  <si>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</si>
  <si>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</si>
  <si>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</si>
  <si>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</si>
  <si>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</si>
  <si>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</si>
  <si>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</si>
  <si>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</si>
  <si>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</si>
  <si>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</si>
  <si>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</si>
  <si>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</si>
  <si>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</si>
  <si>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</si>
  <si>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</si>
  <si>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</si>
  <si>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</si>
  <si>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</si>
  <si>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</si>
  <si>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</si>
  <si>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</si>
  <si>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</si>
  <si>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</si>
  <si>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</si>
  <si>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</si>
  <si>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</si>
  <si>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</si>
  <si>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</si>
  <si>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</si>
  <si>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</si>
  <si>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</si>
  <si>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</si>
  <si>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</si>
  <si>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</si>
  <si>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</si>
  <si>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</si>
  <si>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</si>
  <si>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</si>
  <si>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</si>
  <si>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</si>
  <si>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</si>
  <si>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</si>
  <si>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</si>
  <si>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</si>
  <si>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</si>
  <si>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</si>
  <si>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</si>
  <si>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</si>
  <si>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</si>
  <si>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</si>
  <si>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</si>
  <si>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</si>
  <si>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</si>
  <si>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</si>
  <si>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</si>
  <si>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</si>
  <si>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</si>
  <si>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</si>
  <si>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</si>
  <si>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</si>
  <si>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</si>
  <si>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</si>
  <si>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</si>
  <si>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</si>
  <si>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</si>
  <si>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</si>
  <si>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</si>
  <si>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</si>
  <si>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</si>
  <si>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</si>
  <si>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</si>
  <si>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</si>
  <si>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</si>
  <si>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</si>
  <si>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</si>
  <si>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</si>
  <si>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</si>
  <si>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</si>
  <si>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</si>
  <si>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</si>
  <si>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</si>
  <si>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</si>
  <si>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</si>
  <si>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</si>
  <si>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</si>
  <si>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</si>
  <si>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</si>
  <si>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</si>
  <si>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</si>
  <si>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</si>
  <si>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</si>
  <si>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</si>
  <si>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</si>
  <si>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</si>
  <si>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</si>
  <si>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</si>
  <si>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</si>
  <si>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</si>
  <si>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</si>
  <si>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</si>
  <si>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</si>
  <si>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</si>
  <si>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</si>
  <si>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</si>
  <si>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</si>
  <si>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</si>
  <si>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</si>
  <si>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</si>
  <si>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</si>
  <si>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</si>
  <si>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</si>
  <si>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</si>
  <si>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</si>
  <si>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</si>
  <si>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</si>
  <si>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</si>
  <si>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</si>
  <si>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</si>
  <si>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</si>
  <si>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</si>
  <si>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</si>
  <si>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</si>
  <si>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</si>
  <si>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</si>
  <si>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</si>
  <si>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</si>
  <si>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</si>
  <si>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</si>
  <si>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</si>
  <si>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</si>
  <si>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</si>
  <si>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</si>
  <si>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</si>
  <si>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</si>
  <si>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</si>
  <si>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</si>
  <si>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</si>
  <si>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</si>
  <si>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</si>
  <si>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</si>
  <si>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</si>
  <si>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</si>
  <si>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</si>
  <si>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</si>
  <si>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</si>
  <si>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</si>
  <si>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</si>
  <si>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</si>
  <si>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</si>
  <si>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</si>
  <si>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</si>
  <si>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</si>
  <si>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</si>
  <si>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</si>
  <si>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</si>
  <si>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</si>
  <si>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</si>
  <si>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</si>
  <si>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</si>
  <si>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</si>
  <si>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</si>
  <si>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</si>
  <si>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</si>
  <si>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</si>
  <si>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</si>
  <si>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</si>
  <si>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</si>
  <si>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</si>
  <si>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</si>
  <si>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</si>
  <si>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</si>
  <si>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</si>
  <si>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</si>
  <si>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</si>
  <si>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</si>
  <si>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</si>
  <si>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</si>
  <si>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</si>
  <si>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</si>
  <si>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</si>
  <si>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</si>
  <si>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</si>
  <si>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</si>
  <si>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</si>
  <si>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</si>
  <si>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</si>
  <si>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</si>
  <si>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</si>
  <si>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</si>
  <si>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</si>
  <si>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</si>
  <si>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</si>
  <si>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</si>
  <si>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</si>
  <si>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</si>
  <si>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</si>
  <si>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</si>
  <si>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</si>
  <si>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</si>
  <si>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</si>
  <si>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</si>
  <si>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</si>
  <si>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</si>
  <si>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</si>
  <si>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</si>
  <si>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</si>
  <si>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</si>
  <si>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</si>
  <si>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</si>
  <si>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</si>
  <si>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</si>
  <si>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</si>
  <si>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</si>
  <si>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</si>
  <si>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</si>
  <si>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</si>
  <si>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</si>
  <si>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</si>
  <si>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</si>
  <si>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</si>
  <si>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</si>
  <si>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</si>
  <si>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</si>
  <si>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</si>
  <si>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</si>
  <si>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</si>
  <si>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</si>
  <si>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</si>
  <si>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</si>
  <si>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</si>
  <si>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</si>
  <si>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</si>
  <si>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</si>
  <si>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</si>
  <si>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</si>
  <si>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</si>
  <si>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</si>
  <si>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</si>
  <si>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</si>
  <si>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</si>
  <si>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</si>
  <si>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</si>
  <si>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</si>
  <si>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</si>
  <si>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</si>
  <si>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</si>
  <si>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</si>
  <si>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</si>
  <si>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</si>
  <si>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</si>
  <si>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</si>
  <si>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</si>
  <si>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</si>
  <si>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</si>
  <si>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</si>
  <si>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</si>
  <si>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</si>
  <si>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</si>
  <si>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</si>
  <si>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</si>
  <si>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</si>
  <si>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</si>
  <si>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</si>
  <si>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</si>
  <si>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</si>
  <si>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</si>
  <si>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</si>
  <si>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</si>
  <si>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</si>
  <si>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</si>
  <si>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</si>
  <si>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</si>
  <si>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</si>
  <si>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</si>
  <si>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</si>
  <si>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</si>
  <si>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</si>
  <si>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</si>
  <si>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</si>
  <si>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</si>
  <si>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</si>
  <si>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</si>
  <si>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</si>
  <si>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</si>
  <si>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</si>
  <si>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</si>
  <si>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</si>
  <si>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</si>
  <si>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</si>
  <si>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</si>
  <si>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</si>
  <si>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</si>
  <si>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</si>
  <si>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</si>
  <si>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</si>
  <si>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</si>
  <si>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</si>
  <si>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</si>
  <si>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</si>
  <si>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</si>
  <si>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</si>
  <si>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</si>
  <si>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</si>
  <si>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</si>
  <si>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</si>
  <si>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</si>
  <si>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</si>
  <si>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</si>
  <si>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</si>
  <si>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</si>
  <si>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</si>
  <si>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</si>
  <si>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</si>
  <si>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</si>
  <si>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</si>
  <si>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</si>
  <si>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</si>
  <si>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</si>
  <si>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</si>
  <si>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</si>
  <si>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</si>
  <si>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</si>
  <si>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</si>
  <si>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</si>
  <si>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</si>
  <si>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</si>
  <si>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</si>
  <si>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</si>
  <si>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</si>
  <si>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</si>
  <si>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</si>
  <si>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</si>
  <si>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</si>
  <si>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</si>
  <si>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</si>
  <si>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</si>
  <si>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</si>
  <si>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</si>
  <si>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</si>
  <si>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</si>
  <si>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</si>
  <si>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</si>
  <si>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</si>
  <si>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</si>
  <si>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</si>
  <si>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</si>
  <si>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</si>
  <si>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</si>
  <si>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</si>
  <si>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</si>
  <si>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</si>
  <si>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</si>
  <si>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</si>
  <si>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</si>
  <si>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</si>
  <si>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</si>
  <si>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</si>
  <si>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</si>
  <si>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</si>
  <si>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</si>
  <si>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</si>
  <si>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</si>
  <si>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</si>
  <si>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</si>
  <si>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</si>
  <si>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</si>
  <si>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</si>
  <si>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</si>
  <si>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</si>
  <si>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</si>
  <si>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</si>
  <si>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</si>
  <si>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</si>
  <si>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</si>
  <si>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</si>
  <si>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</si>
  <si>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</si>
  <si>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</si>
  <si>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</si>
  <si>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</si>
  <si>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</si>
  <si>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</si>
  <si>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</si>
  <si>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</si>
  <si>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</si>
  <si>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</si>
  <si>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</si>
  <si>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</si>
  <si>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</si>
  <si>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</si>
  <si>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</si>
  <si>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</si>
  <si>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</si>
  <si>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</si>
  <si>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</si>
  <si>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</si>
  <si>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</si>
  <si>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</si>
  <si>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</si>
  <si>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</si>
  <si>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</si>
  <si>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</si>
  <si>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</si>
  <si>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</si>
  <si>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</si>
  <si>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</si>
  <si>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</si>
  <si>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</si>
  <si>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</si>
  <si>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</si>
  <si>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</si>
  <si>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</si>
  <si>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</si>
  <si>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</si>
  <si>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</si>
  <si>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</si>
  <si>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</si>
  <si>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</si>
  <si>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</si>
  <si>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</si>
  <si>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</si>
  <si>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</si>
  <si>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</si>
  <si>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</si>
  <si>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</si>
  <si>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</si>
  <si>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</si>
  <si>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</si>
  <si>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</si>
  <si>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</si>
  <si>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</si>
  <si>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</si>
  <si>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</si>
  <si>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</si>
  <si>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</si>
  <si>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</si>
  <si>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</si>
  <si>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</si>
  <si>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</si>
  <si>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</si>
  <si>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</si>
  <si>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</si>
  <si>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</si>
  <si>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</si>
  <si>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</si>
  <si>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</si>
  <si>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</si>
  <si>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</si>
  <si>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</si>
  <si>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</si>
  <si>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</si>
  <si>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</si>
  <si>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</si>
  <si>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</si>
  <si>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</si>
  <si>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</si>
  <si>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</si>
  <si>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</si>
  <si>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</si>
  <si>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</si>
  <si>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</si>
  <si>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</si>
  <si>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</si>
  <si>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</si>
  <si>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</si>
  <si>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</si>
  <si>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</si>
  <si>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</si>
  <si>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</si>
  <si>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</si>
  <si>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</si>
  <si>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</si>
  <si>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</si>
  <si>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</si>
  <si>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</si>
  <si>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</si>
  <si>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</si>
  <si>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</si>
  <si>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</si>
  <si>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</si>
  <si>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</si>
  <si>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</si>
  <si>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</si>
  <si>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</si>
  <si>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</si>
  <si>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</si>
  <si>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</si>
  <si>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</si>
  <si>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</si>
  <si>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</si>
  <si>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</si>
  <si>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</si>
  <si>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</si>
  <si>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</si>
  <si>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</si>
  <si>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</si>
  <si>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</si>
  <si>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</si>
  <si>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</si>
  <si>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</si>
  <si>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</si>
  <si>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</si>
  <si>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</si>
  <si>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</si>
  <si>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</si>
  <si>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</si>
  <si>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</si>
  <si>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</si>
  <si>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</si>
  <si>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</si>
  <si>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</si>
  <si>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</si>
  <si>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</si>
  <si>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</si>
  <si>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</si>
  <si>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</si>
  <si>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</si>
  <si>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</si>
  <si>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</si>
  <si>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</si>
  <si>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</si>
  <si>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</si>
  <si>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</si>
  <si>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</si>
  <si>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</si>
  <si>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</si>
  <si>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</si>
  <si>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</si>
  <si>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</si>
  <si>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</si>
  <si>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</si>
  <si>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</si>
  <si>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</si>
  <si>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</si>
  <si>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</si>
  <si>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</si>
  <si>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</si>
  <si>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</si>
  <si>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</si>
  <si>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</si>
  <si>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</si>
  <si>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</si>
  <si>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</si>
  <si>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</si>
  <si>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</si>
  <si>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</si>
  <si>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</si>
  <si>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</si>
  <si>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</si>
  <si>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</si>
  <si>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</si>
  <si>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</si>
  <si>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</si>
  <si>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</si>
  <si>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</si>
  <si>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</si>
  <si>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</si>
  <si>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</si>
  <si>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</si>
  <si>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</si>
  <si>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</si>
  <si>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</si>
  <si>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</si>
  <si>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</si>
  <si>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</si>
  <si>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</si>
  <si>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</si>
  <si>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</si>
  <si>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</si>
  <si>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</si>
  <si>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</si>
  <si>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</si>
  <si>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</si>
  <si>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</si>
  <si>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</si>
  <si>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</si>
  <si>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</si>
  <si>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</si>
  <si>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</si>
  <si>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</si>
  <si>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</si>
  <si>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</si>
  <si>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</si>
  <si>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</si>
  <si>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</si>
  <si>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</si>
  <si>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</si>
  <si>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</si>
  <si>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</si>
  <si>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</si>
  <si>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</si>
  <si>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</si>
  <si>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</si>
  <si>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</si>
  <si>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</si>
  <si>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</si>
  <si>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</si>
  <si>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</si>
  <si>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</si>
  <si>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</si>
  <si>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</si>
  <si>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</si>
  <si>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</si>
  <si>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</si>
  <si>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</si>
  <si>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</si>
  <si>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</si>
  <si>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</si>
  <si>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</si>
  <si>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</si>
  <si>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</si>
  <si>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</si>
  <si>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</si>
  <si>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</si>
  <si>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</si>
  <si>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</si>
  <si>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</si>
  <si>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</si>
  <si>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</si>
  <si>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</si>
  <si>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</si>
  <si>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</si>
  <si>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</si>
  <si>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</si>
  <si>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</si>
  <si>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</si>
  <si>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</si>
  <si>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</si>
  <si>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</si>
  <si>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</si>
  <si>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</si>
  <si>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</si>
  <si>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</si>
  <si>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</si>
  <si>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</si>
  <si>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</si>
  <si>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</si>
  <si>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</si>
  <si>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</si>
  <si>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</si>
  <si>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</si>
  <si>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</si>
  <si>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</si>
  <si>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</si>
  <si>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</si>
  <si>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</si>
  <si>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</si>
  <si>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</si>
  <si>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</si>
  <si>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</si>
  <si>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</si>
  <si>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</si>
  <si>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</si>
  <si>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</si>
  <si>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</si>
  <si>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</si>
  <si>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</si>
  <si>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</si>
  <si>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</si>
  <si>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</si>
  <si>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</si>
  <si>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</si>
  <si>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</si>
  <si>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</si>
  <si>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</si>
  <si>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</si>
  <si>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</si>
  <si>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</si>
  <si>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</si>
  <si>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</si>
  <si>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</si>
  <si>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</si>
  <si>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</si>
  <si>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</si>
  <si>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</si>
  <si>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</si>
  <si>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</si>
  <si>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</si>
  <si>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</si>
  <si>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</si>
  <si>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</si>
  <si>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</si>
  <si>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</si>
  <si>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</si>
  <si>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</si>
  <si>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</si>
  <si>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</si>
  <si>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</si>
  <si>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</si>
  <si>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</si>
  <si>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</si>
  <si>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</si>
  <si>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</si>
  <si>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</si>
  <si>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</si>
  <si>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</si>
  <si>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</si>
  <si>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</si>
  <si>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</si>
  <si>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</si>
  <si>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</si>
  <si>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</si>
  <si>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</si>
  <si>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</si>
  <si>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</si>
  <si>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</si>
  <si>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</si>
  <si>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</si>
  <si>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</si>
  <si>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</si>
  <si>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</si>
  <si>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</si>
  <si>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</si>
  <si>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</si>
  <si>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</si>
  <si>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</si>
  <si>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</si>
  <si>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</si>
  <si>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</si>
  <si>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</si>
  <si>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</si>
  <si>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</si>
  <si>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</si>
  <si>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</si>
  <si>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</si>
  <si>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</si>
  <si>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</si>
  <si>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</si>
  <si>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</si>
  <si>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</si>
  <si>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</si>
  <si>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</si>
  <si>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</si>
  <si>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</si>
  <si>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</si>
  <si>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</si>
  <si>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</si>
  <si>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</si>
  <si>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</si>
  <si>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</si>
  <si>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</si>
  <si>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</si>
  <si>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</si>
  <si>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</si>
  <si>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</si>
  <si>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</si>
  <si>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</si>
  <si>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</si>
  <si>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</si>
  <si>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</si>
  <si>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</si>
  <si>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</si>
  <si>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</si>
  <si>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</si>
  <si>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</si>
  <si>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</si>
  <si>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</si>
  <si>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</si>
  <si>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</si>
  <si>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</si>
  <si>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</si>
  <si>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</si>
  <si>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</si>
  <si>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</si>
  <si>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</si>
  <si>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</si>
  <si>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</si>
  <si>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</si>
  <si>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</si>
  <si>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</si>
  <si>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</si>
  <si>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</si>
  <si>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</si>
  <si>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</si>
  <si>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</si>
  <si>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</si>
  <si>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</si>
  <si>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</si>
  <si>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</si>
  <si>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</si>
  <si>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</si>
  <si>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</si>
  <si>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</si>
  <si>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</si>
  <si>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</si>
  <si>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</si>
  <si>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</si>
  <si>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</si>
  <si>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</si>
  <si>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</si>
  <si>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</si>
  <si>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</si>
  <si>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</si>
  <si>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</si>
  <si>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</si>
  <si>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</si>
  <si>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</si>
  <si>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</si>
  <si>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</si>
  <si>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</si>
  <si>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</si>
  <si>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</si>
  <si>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</si>
  <si>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</si>
  <si>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</si>
  <si>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</si>
  <si>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</si>
  <si>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</si>
  <si>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</si>
  <si>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</si>
  <si>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</si>
  <si>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</si>
  <si>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</si>
  <si>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</si>
  <si>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</si>
  <si>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</si>
  <si>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</si>
  <si>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</si>
  <si>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</si>
  <si>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</si>
  <si>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</si>
  <si>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</si>
  <si>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</si>
  <si>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</si>
  <si>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</si>
  <si>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</si>
  <si>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</si>
  <si>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</si>
  <si>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</si>
  <si>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</si>
  <si>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</si>
  <si>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</si>
  <si>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</si>
  <si>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</si>
  <si>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</si>
  <si>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</si>
  <si>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</si>
  <si>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</si>
  <si>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</si>
  <si>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</si>
  <si>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</si>
  <si>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</si>
  <si>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</si>
  <si>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</si>
  <si>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</si>
  <si>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</si>
  <si>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</si>
  <si>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</si>
  <si>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</si>
  <si>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</si>
  <si>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</si>
  <si>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</si>
  <si>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</si>
  <si>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</si>
  <si>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</si>
  <si>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</si>
  <si>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</si>
  <si>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</si>
  <si>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</si>
  <si>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</si>
  <si>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</si>
  <si>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</si>
  <si>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</si>
  <si>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</si>
  <si>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</si>
  <si>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</si>
  <si>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</si>
  <si>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</si>
  <si>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</si>
  <si>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</si>
  <si>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</si>
  <si>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</si>
  <si>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</si>
  <si>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</si>
  <si>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</si>
  <si>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</si>
  <si>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</si>
  <si>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</si>
  <si>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</si>
  <si>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</si>
  <si>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</si>
  <si>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</si>
  <si>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</si>
  <si>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</si>
  <si>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</si>
  <si>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</si>
  <si>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</si>
  <si>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</si>
  <si>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</si>
  <si>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</si>
  <si>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</si>
  <si>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</si>
  <si>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</si>
  <si>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</si>
  <si>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</si>
  <si>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</si>
  <si>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</si>
  <si>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</si>
  <si>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</si>
  <si>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</si>
  <si>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</si>
  <si>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</si>
  <si>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</si>
  <si>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</si>
  <si>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</si>
  <si>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</si>
  <si>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</si>
  <si>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</si>
  <si>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</si>
  <si>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</si>
  <si>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</si>
  <si>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</si>
  <si>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</si>
  <si>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</si>
  <si>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</si>
  <si>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</si>
  <si>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</si>
  <si>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</si>
  <si>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</si>
  <si>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</si>
  <si>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</si>
  <si>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</si>
  <si>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</si>
  <si>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</si>
  <si>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</si>
  <si>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</si>
  <si>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</si>
  <si>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</si>
  <si>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</si>
  <si>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</si>
  <si>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</si>
  <si>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</si>
  <si>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</si>
  <si>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</si>
  <si>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</si>
  <si>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</si>
  <si>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</si>
  <si>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</si>
  <si>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</si>
  <si>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</si>
  <si>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</si>
  <si>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</si>
  <si>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</si>
  <si>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</si>
  <si>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</si>
  <si>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</si>
  <si>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</si>
  <si>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</si>
  <si>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</si>
  <si>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</si>
  <si>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</si>
  <si>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</si>
  <si>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</si>
  <si>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</si>
  <si>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</si>
  <si>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</si>
  <si>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</si>
  <si>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</si>
  <si>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</si>
  <si>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</si>
  <si>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</si>
  <si>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</si>
  <si>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</si>
  <si>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</si>
  <si>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</si>
  <si>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</si>
  <si>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</si>
  <si>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</si>
  <si>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</si>
  <si>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</si>
  <si>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</si>
  <si>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</si>
  <si>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</si>
  <si>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</si>
  <si>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</si>
  <si>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</si>
  <si>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</si>
  <si>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</si>
  <si>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</si>
  <si>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</si>
  <si>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</si>
  <si>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</si>
  <si>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</si>
  <si>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</si>
  <si>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</si>
  <si>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</si>
  <si>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</si>
  <si>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</si>
  <si>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</si>
  <si>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</si>
  <si>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</si>
  <si>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</si>
  <si>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</si>
  <si>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</si>
  <si>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</si>
  <si>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</si>
  <si>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</si>
  <si>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</si>
  <si>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</si>
  <si>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</si>
  <si>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</si>
  <si>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</si>
  <si>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</si>
  <si>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</si>
  <si>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</si>
  <si>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</si>
  <si>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</si>
  <si>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</si>
  <si>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</si>
  <si>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</si>
  <si>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</si>
  <si>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</si>
  <si>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</si>
  <si>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</si>
  <si>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</si>
  <si>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</si>
  <si>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</si>
  <si>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</si>
  <si>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</si>
  <si>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</si>
  <si>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</si>
  <si>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</si>
  <si>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</si>
  <si>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</si>
  <si>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</si>
  <si>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</si>
  <si>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</si>
  <si>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</si>
  <si>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</si>
  <si>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</si>
  <si>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</si>
  <si>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</si>
  <si>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</si>
  <si>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</si>
  <si>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</si>
  <si>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</si>
  <si>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</si>
  <si>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</si>
  <si>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</si>
  <si>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</si>
  <si>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</si>
  <si>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</si>
  <si>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</si>
  <si>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</si>
  <si>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</si>
  <si>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</si>
  <si>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</si>
  <si>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</si>
  <si>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</si>
  <si>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</si>
  <si>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</si>
  <si>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</si>
  <si>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</si>
  <si>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</si>
  <si>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</si>
  <si>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</si>
  <si>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</si>
  <si>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</si>
  <si>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</si>
  <si>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</si>
  <si>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</si>
  <si>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</si>
  <si>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</si>
  <si>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</si>
  <si>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</si>
  <si>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</si>
  <si>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</si>
  <si>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</si>
  <si>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</si>
  <si>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</si>
  <si>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</si>
  <si>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</si>
  <si>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</si>
  <si>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</si>
  <si>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</si>
  <si>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</si>
  <si>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</si>
  <si>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</si>
  <si>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</si>
  <si>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</si>
  <si>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</si>
  <si>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</si>
  <si>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</si>
  <si>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</si>
  <si>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</si>
  <si>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</si>
  <si>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</si>
  <si>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</si>
  <si>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</si>
  <si>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</si>
  <si>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</si>
  <si>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</si>
  <si>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</si>
  <si>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</si>
  <si>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</si>
  <si>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</si>
  <si>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</si>
  <si>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</si>
  <si>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</si>
  <si>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</si>
  <si>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</si>
  <si>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</si>
  <si>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</si>
  <si>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</si>
  <si>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</si>
  <si>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</si>
  <si>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</si>
  <si>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</si>
  <si>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</si>
  <si>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</si>
  <si>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</si>
  <si>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</si>
  <si>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</si>
  <si>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</si>
  <si>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</si>
  <si>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</si>
  <si>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</si>
  <si>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</si>
  <si>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</si>
  <si>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</si>
  <si>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</si>
  <si>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</si>
  <si>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</si>
  <si>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</si>
  <si>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</si>
  <si>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</si>
  <si>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</si>
  <si>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</si>
  <si>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</si>
  <si>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</si>
  <si>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</si>
  <si>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</si>
  <si>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</si>
  <si>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</si>
  <si>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</si>
  <si>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</si>
  <si>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</si>
  <si>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</si>
  <si>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</si>
  <si>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</si>
  <si>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</si>
  <si>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</si>
  <si>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</si>
  <si>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</si>
  <si>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</si>
  <si>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</si>
  <si>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</si>
  <si>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</si>
  <si>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</si>
  <si>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</si>
  <si>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</si>
  <si>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</si>
  <si>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</si>
  <si>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</si>
  <si>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</si>
  <si>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</si>
  <si>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</si>
  <si>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</si>
  <si>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</si>
  <si>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</si>
  <si>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</si>
  <si>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</si>
  <si>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</si>
  <si>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</si>
  <si>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</si>
  <si>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</si>
  <si>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</si>
  <si>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</si>
  <si>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</si>
  <si>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</si>
  <si>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</si>
  <si>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</si>
  <si>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</si>
  <si>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</si>
  <si>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</si>
  <si>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</si>
  <si>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</si>
  <si>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</si>
  <si>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</si>
  <si>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</si>
  <si>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</si>
  <si>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</si>
  <si>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</si>
  <si>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</si>
  <si>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</si>
  <si>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</si>
  <si>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</si>
  <si>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</si>
  <si>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</si>
  <si>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</si>
  <si>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</si>
  <si>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</si>
  <si>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</si>
  <si>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</si>
  <si>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</si>
  <si>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</si>
  <si>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</si>
  <si>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</si>
  <si>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</si>
  <si>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</si>
  <si>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</si>
  <si>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</si>
  <si>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</si>
  <si>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</si>
  <si>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</si>
  <si>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</si>
  <si>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</si>
  <si>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</si>
  <si>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</si>
  <si>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</si>
  <si>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</si>
  <si>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</si>
  <si>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</si>
  <si>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</si>
  <si>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</si>
  <si>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</si>
  <si>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</si>
  <si>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</si>
  <si>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</si>
  <si>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</si>
  <si>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</si>
  <si>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</si>
  <si>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</si>
  <si>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</si>
  <si>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</si>
  <si>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</si>
  <si>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</si>
  <si>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</si>
  <si>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</si>
  <si>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</si>
  <si>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</si>
  <si>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</si>
  <si>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</si>
  <si>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</si>
  <si>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</si>
  <si>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</si>
  <si>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</si>
  <si>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</si>
  <si>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</si>
  <si>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</si>
  <si>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</si>
  <si>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</si>
  <si>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</si>
  <si>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</si>
  <si>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</si>
  <si>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</si>
  <si>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</si>
  <si>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</si>
  <si>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</si>
  <si>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</si>
  <si>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</si>
  <si>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</si>
  <si>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</si>
  <si>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</si>
  <si>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</si>
  <si>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</si>
  <si>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</si>
  <si>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</si>
  <si>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</si>
  <si>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</si>
  <si>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</si>
  <si>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</si>
  <si>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</si>
  <si>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</si>
  <si>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</si>
  <si>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</si>
  <si>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</si>
  <si>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</si>
  <si>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</si>
  <si>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</si>
  <si>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</si>
  <si>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</si>
  <si>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</si>
  <si>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</si>
  <si>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</si>
  <si>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</si>
  <si>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</si>
  <si>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</si>
  <si>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</si>
  <si>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</si>
  <si>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</si>
  <si>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</si>
  <si>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</si>
  <si>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</si>
  <si>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</si>
  <si>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</si>
  <si>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</si>
  <si>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</si>
  <si>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</si>
  <si>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</si>
  <si>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</si>
  <si>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</si>
  <si>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</si>
  <si>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</si>
  <si>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</si>
  <si>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</si>
  <si>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</si>
  <si>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</si>
  <si>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</si>
  <si>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</si>
  <si>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</si>
  <si>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</si>
  <si>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</si>
  <si>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</si>
  <si>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</si>
  <si>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</si>
  <si>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</si>
  <si>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</si>
  <si>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</si>
  <si>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</si>
  <si>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</si>
  <si>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</si>
  <si>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</si>
  <si>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</si>
  <si>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</si>
  <si>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</si>
  <si>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</si>
  <si>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</si>
  <si>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</si>
  <si>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</si>
  <si>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</si>
  <si>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</si>
  <si>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</si>
  <si>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</si>
  <si>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</si>
  <si>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</si>
  <si>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</si>
  <si>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</si>
  <si>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</si>
  <si>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</si>
  <si>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</si>
  <si>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</si>
  <si>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</si>
  <si>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</si>
  <si>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</si>
  <si>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</si>
  <si>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</si>
  <si>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</si>
  <si>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</si>
  <si>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</si>
  <si>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</si>
  <si>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</si>
  <si>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</si>
  <si>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</si>
  <si>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</si>
  <si>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</si>
  <si>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</si>
  <si>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</si>
  <si>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</si>
  <si>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</si>
  <si>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</si>
  <si>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</si>
  <si>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</si>
  <si>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</si>
  <si>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</si>
  <si>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</si>
  <si>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</si>
  <si>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</si>
  <si>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</si>
  <si>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</si>
  <si>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</si>
  <si>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</si>
  <si>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</si>
  <si>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</si>
  <si>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</si>
  <si>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</si>
  <si>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</si>
  <si>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</si>
  <si>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</si>
  <si>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</si>
  <si>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</si>
  <si>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</si>
  <si>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</si>
  <si>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</si>
  <si>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</si>
  <si>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</si>
  <si>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</si>
  <si>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</si>
  <si>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</si>
  <si>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</si>
  <si>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</si>
  <si>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</si>
  <si>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</si>
  <si>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</si>
  <si>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</si>
  <si>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</si>
  <si>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</si>
  <si>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</si>
  <si>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</si>
  <si>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</si>
  <si>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</si>
  <si>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</si>
  <si>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</si>
  <si>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</si>
  <si>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</si>
  <si>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</si>
  <si>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</si>
  <si>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</si>
  <si>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</si>
  <si>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</si>
  <si>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</si>
  <si>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</si>
  <si>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</si>
  <si>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</si>
  <si>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</si>
  <si>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</si>
  <si>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</si>
  <si>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</si>
  <si>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</si>
  <si>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</si>
  <si>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</si>
  <si>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</si>
  <si>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</si>
  <si>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</si>
  <si>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</si>
  <si>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</si>
  <si>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</si>
  <si>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</si>
  <si>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</si>
  <si>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</si>
  <si>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</si>
  <si>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</si>
  <si>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</si>
  <si>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</si>
  <si>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</si>
  <si>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</si>
  <si>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</si>
  <si>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</si>
  <si>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</si>
  <si>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</si>
  <si>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</si>
  <si>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</si>
  <si>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</si>
  <si>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</si>
  <si>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</si>
  <si>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</si>
  <si>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</si>
  <si>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</si>
  <si>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</si>
  <si>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</si>
  <si>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</si>
  <si>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</si>
  <si>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</si>
  <si>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</si>
  <si>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</si>
  <si>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</si>
  <si>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</si>
  <si>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</si>
  <si>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</si>
  <si>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</si>
  <si>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</si>
  <si>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</si>
  <si>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</si>
  <si>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</si>
  <si>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</si>
  <si>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</si>
  <si>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</si>
  <si>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</si>
  <si>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</si>
  <si>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</si>
  <si>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</si>
  <si>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</si>
  <si>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</si>
  <si>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</si>
  <si>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</si>
  <si>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</si>
  <si>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</si>
  <si>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</si>
  <si>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</si>
  <si>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</si>
  <si>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</si>
  <si>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</si>
  <si>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</si>
  <si>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</si>
  <si>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</si>
  <si>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</si>
  <si>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</si>
  <si>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</si>
  <si>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</si>
  <si>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</si>
  <si>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</si>
  <si>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</si>
  <si>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</si>
  <si>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</si>
  <si>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</si>
  <si>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</si>
  <si>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</si>
  <si>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</si>
  <si>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</si>
  <si>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</si>
  <si>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</si>
  <si>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</si>
  <si>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</si>
  <si>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</si>
  <si>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</si>
  <si>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</si>
  <si>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</si>
  <si>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</si>
  <si>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</si>
  <si>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</si>
  <si>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</si>
  <si>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</si>
  <si>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</si>
  <si>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</si>
  <si>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</si>
  <si>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</si>
  <si>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</si>
  <si>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</si>
  <si>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</si>
  <si>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</si>
  <si>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</si>
  <si>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</si>
  <si>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</si>
  <si>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</si>
  <si>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</si>
  <si>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</si>
  <si>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</si>
  <si>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</si>
  <si>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</si>
  <si>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</si>
  <si>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</si>
  <si>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</si>
  <si>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</si>
  <si>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</si>
  <si>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</si>
  <si>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</si>
  <si>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</si>
  <si>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</si>
  <si>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</si>
  <si>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</si>
  <si>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</si>
  <si>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</si>
  <si>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</si>
  <si>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</si>
  <si>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</si>
  <si>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</si>
  <si>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</si>
  <si>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</si>
  <si>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</si>
  <si>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</si>
  <si>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</si>
  <si>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</si>
  <si>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</si>
  <si>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</si>
  <si>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</si>
  <si>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</si>
  <si>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</si>
  <si>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</si>
  <si>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</si>
  <si>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</si>
  <si>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</si>
  <si>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</si>
  <si>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</si>
  <si>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</si>
  <si>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</si>
  <si>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</si>
  <si>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</si>
  <si>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</si>
  <si>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</si>
  <si>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</si>
  <si>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</si>
  <si>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</si>
  <si>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</si>
  <si>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</si>
  <si>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</si>
  <si>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</si>
  <si>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</si>
  <si>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</si>
  <si>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</si>
  <si>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</si>
  <si>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</si>
  <si>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</si>
  <si>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</si>
  <si>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</si>
  <si>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</si>
  <si>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</si>
  <si>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</si>
  <si>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</si>
  <si>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</si>
  <si>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</si>
  <si>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</si>
  <si>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</si>
  <si>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</si>
  <si>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</si>
  <si>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</si>
  <si>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</si>
  <si>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</si>
  <si>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</si>
  <si>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</si>
  <si>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</si>
  <si>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</si>
  <si>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</si>
  <si>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</si>
  <si>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</si>
  <si>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</si>
  <si>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</si>
  <si>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</si>
  <si>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</si>
  <si>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</si>
  <si>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</si>
  <si>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</si>
  <si>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</si>
  <si>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</si>
  <si>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</si>
  <si>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</si>
  <si>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</si>
  <si>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</si>
  <si>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</si>
  <si>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</si>
  <si>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</si>
  <si>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</si>
  <si>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</si>
  <si>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</si>
  <si>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</si>
  <si>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</si>
  <si>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</si>
  <si>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</si>
  <si>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</si>
  <si>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</si>
  <si>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</si>
  <si>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</si>
  <si>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</si>
  <si>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</si>
  <si>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</si>
  <si>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</si>
  <si>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</si>
  <si>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</si>
  <si>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</si>
  <si>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</si>
  <si>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</si>
  <si>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</si>
  <si>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</si>
  <si>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</si>
  <si>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</si>
  <si>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</si>
  <si>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</si>
  <si>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</si>
  <si>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</si>
  <si>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</si>
  <si>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</si>
  <si>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</si>
  <si>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</si>
  <si>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</si>
  <si>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</si>
  <si>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</si>
  <si>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</si>
  <si>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</si>
  <si>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</si>
  <si>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</si>
  <si>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</si>
  <si>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</si>
  <si>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</si>
  <si>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</si>
  <si>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</si>
  <si>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</si>
  <si>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</si>
  <si>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</si>
  <si>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</si>
  <si>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</si>
  <si>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</si>
  <si>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</si>
  <si>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</si>
  <si>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</si>
  <si>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</si>
  <si>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</si>
  <si>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</si>
  <si>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</si>
  <si>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</si>
  <si>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</si>
  <si>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</si>
  <si>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</si>
  <si>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</si>
  <si>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</si>
  <si>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</si>
  <si>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</si>
  <si>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</si>
  <si>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</si>
  <si>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</si>
  <si>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</si>
  <si>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</si>
  <si>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</si>
  <si>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</si>
  <si>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</si>
  <si>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</si>
  <si>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</si>
  <si>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</si>
  <si>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</si>
  <si>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</si>
  <si>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</si>
  <si>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</si>
  <si>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</si>
  <si>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</si>
  <si>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</si>
  <si>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</si>
  <si>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</si>
  <si>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</si>
  <si>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</si>
  <si>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</si>
  <si>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</si>
  <si>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</si>
  <si>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</si>
  <si>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</si>
  <si>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</si>
  <si>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</si>
  <si>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</si>
  <si>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</si>
  <si>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</si>
  <si>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</si>
  <si>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</si>
  <si>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</si>
  <si>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</si>
  <si>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</si>
  <si>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</si>
  <si>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</si>
  <si>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</si>
  <si>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</si>
  <si>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</si>
  <si>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</si>
  <si>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</si>
  <si>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</si>
  <si>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</si>
  <si>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</si>
  <si>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</si>
  <si>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</si>
  <si>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</si>
  <si>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</si>
  <si>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</si>
  <si>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</si>
  <si>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</si>
  <si>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</si>
  <si>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</si>
  <si>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</si>
  <si>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</si>
  <si>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</si>
  <si>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</si>
  <si>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</si>
  <si>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</si>
  <si>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</si>
  <si>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</si>
  <si>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</si>
  <si>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</si>
  <si>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</si>
  <si>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</si>
  <si>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</si>
  <si>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</si>
  <si>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</si>
  <si>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</si>
  <si>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</si>
  <si>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</si>
  <si>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</si>
  <si>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</si>
  <si>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</si>
  <si>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</si>
  <si>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</si>
  <si>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</si>
  <si>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</si>
  <si>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</si>
  <si>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</si>
  <si>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</si>
  <si>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</si>
  <si>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</si>
  <si>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</si>
  <si>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</si>
  <si>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</si>
  <si>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</si>
  <si>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</si>
  <si>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</si>
  <si>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</si>
  <si>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</si>
  <si>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</si>
  <si>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</si>
  <si>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</si>
  <si>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</si>
  <si>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</si>
  <si>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</si>
  <si>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</si>
  <si>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</si>
  <si>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</si>
  <si>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</si>
  <si>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</si>
  <si>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</si>
  <si>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</si>
  <si>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</si>
  <si>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</si>
  <si>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</si>
  <si>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</si>
  <si>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</si>
  <si>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</si>
  <si>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</si>
  <si>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</si>
  <si>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</si>
  <si>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</si>
  <si>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</si>
  <si>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</si>
  <si>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</si>
  <si>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</si>
  <si>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</si>
  <si>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</si>
  <si>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</si>
  <si>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</si>
  <si>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</si>
  <si>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</si>
  <si>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</si>
  <si>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</si>
  <si>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</si>
  <si>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</si>
  <si>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</si>
  <si>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</si>
  <si>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</si>
  <si>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</si>
  <si>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</si>
  <si>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</si>
  <si>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</si>
  <si>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</si>
  <si>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</si>
  <si>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</si>
  <si>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</si>
  <si>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</si>
  <si>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</si>
  <si>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</si>
  <si>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</si>
  <si>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</si>
  <si>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</si>
  <si>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</si>
  <si>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</si>
  <si>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</si>
  <si>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</si>
  <si>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</si>
  <si>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</si>
  <si>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</si>
  <si>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</si>
  <si>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</si>
  <si>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</si>
  <si>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</si>
  <si>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</si>
  <si>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</si>
  <si>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</si>
  <si>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</si>
  <si>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</si>
  <si>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</si>
  <si>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</si>
  <si>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</si>
  <si>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</si>
  <si>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</si>
  <si>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</si>
  <si>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</si>
  <si>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</si>
  <si>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</si>
  <si>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</si>
  <si>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</si>
  <si>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</si>
  <si>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</si>
  <si>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</si>
  <si>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</si>
  <si>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</si>
  <si>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</si>
  <si>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</si>
  <si>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</si>
  <si>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</si>
  <si>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</si>
  <si>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</si>
  <si>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</si>
  <si>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</si>
  <si>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</si>
  <si>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</si>
  <si>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</si>
  <si>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</si>
  <si>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</si>
  <si>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</si>
  <si>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</si>
  <si>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</si>
  <si>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</si>
  <si>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</si>
  <si>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</si>
  <si>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</si>
  <si>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</si>
  <si>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</si>
  <si>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</si>
  <si>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</si>
  <si>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</si>
  <si>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</si>
  <si>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</si>
  <si>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</si>
  <si>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</si>
  <si>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</si>
  <si>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</si>
  <si>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</si>
  <si>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</si>
  <si>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</si>
  <si>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</si>
  <si>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</si>
  <si>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</si>
  <si>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</si>
  <si>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</si>
  <si>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</si>
  <si>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</si>
  <si>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</si>
  <si>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</si>
  <si>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</si>
  <si>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</si>
  <si>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</si>
  <si>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</si>
  <si>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</si>
  <si>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</si>
  <si>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</si>
  <si>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</si>
  <si>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</si>
  <si>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</si>
  <si>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</si>
  <si>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</si>
  <si>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</si>
  <si>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</si>
  <si>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</si>
  <si>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</si>
  <si>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</si>
  <si>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</si>
  <si>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</si>
  <si>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</si>
  <si>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</si>
  <si>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</si>
  <si>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</si>
  <si>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</si>
  <si>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</si>
  <si>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</si>
  <si>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</si>
  <si>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</si>
  <si>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</si>
  <si>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</si>
  <si>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</si>
  <si>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</si>
  <si>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</si>
  <si>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</si>
  <si>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</si>
  <si>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</si>
  <si>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</si>
  <si>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</si>
  <si>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</si>
  <si>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</si>
  <si>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</si>
  <si>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</si>
  <si>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</si>
  <si>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</si>
  <si>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</si>
  <si>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</si>
  <si>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</si>
  <si>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</si>
  <si>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</si>
  <si>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</si>
  <si>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</si>
  <si>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</si>
  <si>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</si>
  <si>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</si>
  <si>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</si>
  <si>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</si>
  <si>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</si>
  <si>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</si>
  <si>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</si>
  <si>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</si>
  <si>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</si>
  <si>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</si>
  <si>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</si>
  <si>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</si>
  <si>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</si>
  <si>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</si>
  <si>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</si>
  <si>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</si>
  <si>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</si>
  <si>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</si>
  <si>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</si>
  <si>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</si>
  <si>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</si>
  <si>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</si>
  <si>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</si>
  <si>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</si>
  <si>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</si>
  <si>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</si>
  <si>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</si>
  <si>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</si>
  <si>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</si>
  <si>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</si>
  <si>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</si>
  <si>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</si>
  <si>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</si>
  <si>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</si>
  <si>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</si>
  <si>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</si>
  <si>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</si>
  <si>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</si>
  <si>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</si>
  <si>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</si>
  <si>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</si>
  <si>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</si>
  <si>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</si>
  <si>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</si>
  <si>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</si>
  <si>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</si>
  <si>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</si>
  <si>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</si>
  <si>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</si>
  <si>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</si>
  <si>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</si>
  <si>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</si>
  <si>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</si>
  <si>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</si>
  <si>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</si>
  <si>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</si>
  <si>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</si>
  <si>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</si>
  <si>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</si>
  <si>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</si>
  <si>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</si>
  <si>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</si>
  <si>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</si>
  <si>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</si>
  <si>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</si>
  <si>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</si>
  <si>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</si>
  <si>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</si>
  <si>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</si>
  <si>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</si>
  <si>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</si>
  <si>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</si>
  <si>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</si>
  <si>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</si>
  <si>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</si>
  <si>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</si>
  <si>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</si>
  <si>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</si>
  <si>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</si>
  <si>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</si>
  <si>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</si>
  <si>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</si>
  <si>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</si>
  <si>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</si>
  <si>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</si>
  <si>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</si>
  <si>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</si>
  <si>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</si>
  <si>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</si>
  <si>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</si>
  <si>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</si>
  <si>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</si>
  <si>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</si>
  <si>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</si>
  <si>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</si>
  <si>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</si>
  <si>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</si>
  <si>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</si>
  <si>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</si>
  <si>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</si>
  <si>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</si>
  <si>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</si>
  <si>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</si>
  <si>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</si>
  <si>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</si>
  <si>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</si>
  <si>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</si>
  <si>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</si>
  <si>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</si>
  <si>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</si>
  <si>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</si>
  <si>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</si>
  <si>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</si>
  <si>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</si>
  <si>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</si>
  <si>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</si>
  <si>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</si>
  <si>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</si>
  <si>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</si>
  <si>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</si>
  <si>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</si>
  <si>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</si>
  <si>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</si>
  <si>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</si>
  <si>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</si>
  <si>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</si>
  <si>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</si>
  <si>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</si>
  <si>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</si>
  <si>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</si>
  <si>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</si>
  <si>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</si>
  <si>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</si>
  <si>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</si>
  <si>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</si>
  <si>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</si>
  <si>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</si>
  <si>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</si>
  <si>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</si>
  <si>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</si>
  <si>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</si>
  <si>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</si>
  <si>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</si>
  <si>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</si>
  <si>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</si>
  <si>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</si>
  <si>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</si>
  <si>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</si>
  <si>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</si>
  <si>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</si>
  <si>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</si>
  <si>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</si>
  <si>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</si>
  <si>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</si>
  <si>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</si>
  <si>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</si>
  <si>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</si>
  <si>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</si>
  <si>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</si>
  <si>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</si>
  <si>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</si>
  <si>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</si>
  <si>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</si>
  <si>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</si>
  <si>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</si>
  <si>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</si>
  <si>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</si>
  <si>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</si>
  <si>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</si>
  <si>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</si>
  <si>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</si>
  <si>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</si>
  <si>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</si>
  <si>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</si>
  <si>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</si>
  <si>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</si>
  <si>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</si>
  <si>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</si>
  <si>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</si>
  <si>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</si>
  <si>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</si>
  <si>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</si>
  <si>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</si>
  <si>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</si>
  <si>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</si>
  <si>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</si>
  <si>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</si>
  <si>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</si>
  <si>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</si>
  <si>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</si>
  <si>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</si>
  <si>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</si>
  <si>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</si>
  <si>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</si>
  <si>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</si>
  <si>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</si>
  <si>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</si>
  <si>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</si>
  <si>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</si>
  <si>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</si>
  <si>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</si>
  <si>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</si>
  <si>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</si>
  <si>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</si>
  <si>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</si>
  <si>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</si>
  <si>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</si>
  <si>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</si>
  <si>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</si>
  <si>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</si>
  <si>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</si>
  <si>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</si>
  <si>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</si>
  <si>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</si>
  <si>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</si>
  <si>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</si>
  <si>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</si>
  <si>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</si>
  <si>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</si>
  <si>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</si>
  <si>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</si>
  <si>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</si>
  <si>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</si>
  <si>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</si>
  <si>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</si>
  <si>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</si>
  <si>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</si>
  <si>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</si>
  <si>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</si>
  <si>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</si>
  <si>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</si>
  <si>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</si>
  <si>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</si>
  <si>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</si>
  <si>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</si>
  <si>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</si>
  <si>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</si>
  <si>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</si>
  <si>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</si>
  <si>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</si>
  <si>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</si>
  <si>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</si>
  <si>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</si>
  <si>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</si>
  <si>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</si>
  <si>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</si>
  <si>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</si>
  <si>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</si>
  <si>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</si>
  <si>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</si>
  <si>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</si>
  <si>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</si>
  <si>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</si>
  <si>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</si>
  <si>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</si>
  <si>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</si>
  <si>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</si>
  <si>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</si>
  <si>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</si>
  <si>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</si>
  <si>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</si>
  <si>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</si>
  <si>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</si>
  <si>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</si>
  <si>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</si>
  <si>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</si>
  <si>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</si>
  <si>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</si>
  <si>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</si>
  <si>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</si>
  <si>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</si>
  <si>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</si>
  <si>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</si>
  <si>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</si>
  <si>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</si>
  <si>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</si>
  <si>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</si>
  <si>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</si>
  <si>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</si>
  <si>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</si>
  <si>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</si>
  <si>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</si>
  <si>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</si>
  <si>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</si>
  <si>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</si>
  <si>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</si>
  <si>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</si>
  <si>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</si>
  <si>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</si>
  <si>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</si>
  <si>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</si>
  <si>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</si>
  <si>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</si>
  <si>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</si>
  <si>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</si>
  <si>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</si>
  <si>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</si>
  <si>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</si>
  <si>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</si>
  <si>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</si>
  <si>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</si>
  <si>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</si>
  <si>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</si>
  <si>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</si>
  <si>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</si>
  <si>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</si>
  <si>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</si>
  <si>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</si>
  <si>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</si>
  <si>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</si>
  <si>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</si>
  <si>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</si>
  <si>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</si>
  <si>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</si>
  <si>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</si>
  <si>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</si>
  <si>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</si>
  <si>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</si>
  <si>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</si>
  <si>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</si>
  <si>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</si>
  <si>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</si>
  <si>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</si>
  <si>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</si>
  <si>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</si>
  <si>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</si>
  <si>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</si>
  <si>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</si>
  <si>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</si>
  <si>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</si>
  <si>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</si>
  <si>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</si>
  <si>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</si>
  <si>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</si>
  <si>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</si>
  <si>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</si>
  <si>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</si>
  <si>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</si>
  <si>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</si>
  <si>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</si>
  <si>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</si>
  <si>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</si>
  <si>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</si>
  <si>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</si>
  <si>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</si>
  <si>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</si>
  <si>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</si>
  <si>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</si>
  <si>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</si>
  <si>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</si>
  <si>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</si>
  <si>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</si>
  <si>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</si>
  <si>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</si>
  <si>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</si>
  <si>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</si>
  <si>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</si>
  <si>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</si>
  <si>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</si>
  <si>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</si>
  <si>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</si>
  <si>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</si>
  <si>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</si>
  <si>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</si>
  <si>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</si>
  <si>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</si>
  <si>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</si>
  <si>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</si>
  <si>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</si>
  <si>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</si>
  <si>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</si>
  <si>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</si>
  <si>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</si>
  <si>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</si>
  <si>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</si>
  <si>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</si>
  <si>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</si>
  <si>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</si>
  <si>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</si>
  <si>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</si>
  <si>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</si>
  <si>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</si>
  <si>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</si>
  <si>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</si>
  <si>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</si>
  <si>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</si>
  <si>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</si>
  <si>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</si>
  <si>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</si>
  <si>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</si>
  <si>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</si>
  <si>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</si>
  <si>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</si>
  <si>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</si>
  <si>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</si>
  <si>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</si>
  <si>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</si>
  <si>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</si>
  <si>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</si>
  <si>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</si>
  <si>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</si>
  <si>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</si>
  <si>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</si>
  <si>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</si>
  <si>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</si>
  <si>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</si>
  <si>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</si>
  <si>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</si>
  <si>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</si>
  <si>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</si>
  <si>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</si>
  <si>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</si>
  <si>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</si>
  <si>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</si>
  <si>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</si>
  <si>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</si>
  <si>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</si>
  <si>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</si>
  <si>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</si>
  <si>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</si>
  <si>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</si>
  <si>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</si>
  <si>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</si>
  <si>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</si>
  <si>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</si>
  <si>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</si>
  <si>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</si>
  <si>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</si>
  <si>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</si>
  <si>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</si>
  <si>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</si>
  <si>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</si>
  <si>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</si>
  <si>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</si>
  <si>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</si>
  <si>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</si>
  <si>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</si>
  <si>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</si>
  <si>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</si>
  <si>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</si>
  <si>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</si>
  <si>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</si>
  <si>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</si>
  <si>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</si>
  <si>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</si>
  <si>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</si>
  <si>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</si>
  <si>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</si>
  <si>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</si>
  <si>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</si>
  <si>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</si>
  <si>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</si>
  <si>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</si>
  <si>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</si>
  <si>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</si>
  <si>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</si>
  <si>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</si>
  <si>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</si>
  <si>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</si>
  <si>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</si>
  <si>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</si>
  <si>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</si>
  <si>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</si>
  <si>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</si>
  <si>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</si>
  <si>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</si>
  <si>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</si>
  <si>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</si>
  <si>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</si>
  <si>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</si>
  <si>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</si>
  <si>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</si>
  <si>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</si>
  <si>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</si>
  <si>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</si>
  <si>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</si>
  <si>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</si>
  <si>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</si>
  <si>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</si>
  <si>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</si>
  <si>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</si>
  <si>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</si>
  <si>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</si>
  <si>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</si>
  <si>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</si>
  <si>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</si>
  <si>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</si>
  <si>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</si>
  <si>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</si>
  <si>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</si>
  <si>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</si>
  <si>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</si>
  <si>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</si>
  <si>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</si>
  <si>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</si>
  <si>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</si>
  <si>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</si>
  <si>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</si>
  <si>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</si>
  <si>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</si>
  <si>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</si>
  <si>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</si>
  <si>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</si>
  <si>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</si>
  <si>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</si>
  <si>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</si>
  <si>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</si>
  <si>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</si>
  <si>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</si>
  <si>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</si>
  <si>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</si>
  <si>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</si>
  <si>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</si>
  <si>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</si>
  <si>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</si>
  <si>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</si>
  <si>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</si>
  <si>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</si>
  <si>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</si>
  <si>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</si>
  <si>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</si>
  <si>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</si>
  <si>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</si>
  <si>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</si>
  <si>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</si>
  <si>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</si>
  <si>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</si>
  <si>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</si>
  <si>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</si>
  <si>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</si>
  <si>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</si>
  <si>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</si>
  <si>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</si>
  <si>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</si>
  <si>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</si>
  <si>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</si>
  <si>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</si>
  <si>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</si>
  <si>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</si>
  <si>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</si>
  <si>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</si>
  <si>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</si>
  <si>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</si>
  <si>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</si>
  <si>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</si>
  <si>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</si>
  <si>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</si>
  <si>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</si>
  <si>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</si>
  <si>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</si>
  <si>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</si>
  <si>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</si>
  <si>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</si>
  <si>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</si>
  <si>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</si>
  <si>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</si>
  <si>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</si>
  <si>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</si>
  <si>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</si>
  <si>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</si>
  <si>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</si>
  <si>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</si>
  <si>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</si>
  <si>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</si>
  <si>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</si>
  <si>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</si>
  <si>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</si>
  <si>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</si>
  <si>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</si>
  <si>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</si>
  <si>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</si>
  <si>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</si>
  <si>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</si>
  <si>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</si>
  <si>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</si>
  <si>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</si>
  <si>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</si>
  <si>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</si>
  <si>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</si>
  <si>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</si>
  <si>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</si>
  <si>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</si>
  <si>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</si>
  <si>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</si>
  <si>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</si>
  <si>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</si>
  <si>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</si>
  <si>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</si>
  <si>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</si>
  <si>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</si>
  <si>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</si>
  <si>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</si>
  <si>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</si>
  <si>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</si>
  <si>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</si>
  <si>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</si>
  <si>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</si>
  <si>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</si>
  <si>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</si>
  <si>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</si>
  <si>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</si>
  <si>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</si>
  <si>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</si>
  <si>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</si>
  <si>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</si>
  <si>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</si>
  <si>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</si>
  <si>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</si>
  <si>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</si>
  <si>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</si>
  <si>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</si>
  <si>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</si>
  <si>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</si>
  <si>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</si>
  <si>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</si>
  <si>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</si>
  <si>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</si>
  <si>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</si>
  <si>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</si>
  <si>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</si>
  <si>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</si>
  <si>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</si>
  <si>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</si>
  <si>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</si>
  <si>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</si>
  <si>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</si>
  <si>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</si>
  <si>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</si>
  <si>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</si>
  <si>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</si>
  <si>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</si>
  <si>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</si>
  <si>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</si>
  <si>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</si>
  <si>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</si>
  <si>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</si>
  <si>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</si>
  <si>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</si>
  <si>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</si>
  <si>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</si>
  <si>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</si>
  <si>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</si>
  <si>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</si>
  <si>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</si>
  <si>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</si>
  <si>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</si>
  <si>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</si>
  <si>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</si>
  <si>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</si>
  <si>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</si>
  <si>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</si>
  <si>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</si>
  <si>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</si>
  <si>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</si>
  <si>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</si>
  <si>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</si>
  <si>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</si>
  <si>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</si>
  <si>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</si>
  <si>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</si>
  <si>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</si>
  <si>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</si>
  <si>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</si>
  <si>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</si>
  <si>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</si>
  <si>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</si>
  <si>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</si>
  <si>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</si>
  <si>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</si>
  <si>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</si>
  <si>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</si>
  <si>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</si>
  <si>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</si>
  <si>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</si>
  <si>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</si>
  <si>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</si>
  <si>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</si>
  <si>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</si>
  <si>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</si>
  <si>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</si>
  <si>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</si>
  <si>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</si>
  <si>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</si>
  <si>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</si>
  <si>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</si>
  <si>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</si>
  <si>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</si>
  <si>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</si>
  <si>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</si>
  <si>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</si>
  <si>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</si>
  <si>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</si>
  <si>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</si>
  <si>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</si>
  <si>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</si>
  <si>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</si>
  <si>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</si>
  <si>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</si>
  <si>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</si>
  <si>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</si>
  <si>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</si>
  <si>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</si>
  <si>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</si>
  <si>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</si>
  <si>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</si>
  <si>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</si>
  <si>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</si>
  <si>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</si>
  <si>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</si>
  <si>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</si>
  <si>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</si>
  <si>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</si>
  <si>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</si>
  <si>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</si>
  <si>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</si>
  <si>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</si>
  <si>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</si>
  <si>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</si>
  <si>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</si>
  <si>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</si>
  <si>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</si>
  <si>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</si>
  <si>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</si>
  <si>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</si>
  <si>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</si>
  <si>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</si>
  <si>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</si>
  <si>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</si>
  <si>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</si>
  <si>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</si>
  <si>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</si>
  <si>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</si>
  <si>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</si>
  <si>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</si>
  <si>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</si>
  <si>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</si>
  <si>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</si>
  <si>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</si>
  <si>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</si>
  <si>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</si>
  <si>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</si>
  <si>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</si>
  <si>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</si>
  <si>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</si>
  <si>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</si>
  <si>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</si>
  <si>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</si>
  <si>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</si>
  <si>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</si>
  <si>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</si>
  <si>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</si>
  <si>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</si>
  <si>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</si>
  <si>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</si>
  <si>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</si>
  <si>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</si>
  <si>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</si>
  <si>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</si>
  <si>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</si>
  <si>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</si>
  <si>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</si>
  <si>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</si>
  <si>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</si>
  <si>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</si>
  <si>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</si>
  <si>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</si>
  <si>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</si>
  <si>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</si>
  <si>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</si>
  <si>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</si>
  <si>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</si>
  <si>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</si>
  <si>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</si>
  <si>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</si>
  <si>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</si>
  <si>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</si>
  <si>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</si>
  <si>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</si>
  <si>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</si>
  <si>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</si>
  <si>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</si>
  <si>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</si>
  <si>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</si>
  <si>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</si>
  <si>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</si>
  <si>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</si>
  <si>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</si>
  <si>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</si>
  <si>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</si>
  <si>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</si>
  <si>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</si>
  <si>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</si>
  <si>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</si>
  <si>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</si>
  <si>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</si>
  <si>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</si>
  <si>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</si>
  <si>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</si>
  <si>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</si>
  <si>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</si>
  <si>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</si>
  <si>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</si>
  <si>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</si>
  <si>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</si>
  <si>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</si>
  <si>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</si>
  <si>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</si>
  <si>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</si>
  <si>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</si>
  <si>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</si>
  <si>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</si>
  <si>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</si>
  <si>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</si>
  <si>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</si>
  <si>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</si>
  <si>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</si>
  <si>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</si>
  <si>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</si>
  <si>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</si>
  <si>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</si>
  <si>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</si>
  <si>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</si>
  <si>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</si>
  <si>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</si>
  <si>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</si>
  <si>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</si>
  <si>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</si>
  <si>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</si>
  <si>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</si>
  <si>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</si>
  <si>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</si>
  <si>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</si>
  <si>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</si>
  <si>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</si>
  <si>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</si>
  <si>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</si>
  <si>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</si>
  <si>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</si>
  <si>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</si>
  <si>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</si>
  <si>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</si>
  <si>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</si>
  <si>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</si>
  <si>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</si>
  <si>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</si>
  <si>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</si>
  <si>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</si>
  <si>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</si>
  <si>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</si>
  <si>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</si>
  <si>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</si>
  <si>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</si>
  <si>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</si>
  <si>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</si>
  <si>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</si>
  <si>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</si>
  <si>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</si>
  <si>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</si>
  <si>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</si>
  <si>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</si>
  <si>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</si>
  <si>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</si>
  <si>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</si>
  <si>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</si>
  <si>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</si>
  <si>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</si>
  <si>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</si>
  <si>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</si>
  <si>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</si>
  <si>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</si>
  <si>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</si>
  <si>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</si>
  <si>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</si>
  <si>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</si>
  <si>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</si>
  <si>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</si>
  <si>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</si>
  <si>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</si>
  <si>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</si>
  <si>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</si>
  <si>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</si>
  <si>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</si>
  <si>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</si>
  <si>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</si>
  <si>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</si>
  <si>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</si>
  <si>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</si>
  <si>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</si>
  <si>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</si>
  <si>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</si>
  <si>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</si>
  <si>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</si>
  <si>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</si>
  <si>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</si>
  <si>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</si>
  <si>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</si>
  <si>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</si>
  <si>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</si>
  <si>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</si>
  <si>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</si>
  <si>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</si>
  <si>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</si>
  <si>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</si>
  <si>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</si>
  <si>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</si>
  <si>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</si>
  <si>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</si>
  <si>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</si>
  <si>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</si>
  <si>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</si>
  <si>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</si>
  <si>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</si>
  <si>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</si>
  <si>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</si>
  <si>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</si>
  <si>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</si>
  <si>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</si>
  <si>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</si>
  <si>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</si>
  <si>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</si>
  <si>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</si>
  <si>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</si>
  <si>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</si>
  <si>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</si>
  <si>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</si>
  <si>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</si>
  <si>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</si>
  <si>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</si>
  <si>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</si>
  <si>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</si>
  <si>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</si>
  <si>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</si>
  <si>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</si>
  <si>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</si>
  <si>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</si>
  <si>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</si>
  <si>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</si>
  <si>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</si>
  <si>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</si>
  <si>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</si>
  <si>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</si>
  <si>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</si>
  <si>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</si>
  <si>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</si>
  <si>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</si>
  <si>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</si>
  <si>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</si>
  <si>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</si>
  <si>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</si>
  <si>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</si>
  <si>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</si>
  <si>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</si>
  <si>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</si>
  <si>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</si>
  <si>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</si>
  <si>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</si>
  <si>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</si>
  <si>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</si>
  <si>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</si>
  <si>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</si>
  <si>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</si>
  <si>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</si>
  <si>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</si>
  <si>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</si>
  <si>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</si>
  <si>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</si>
  <si>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</si>
  <si>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</si>
  <si>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</si>
  <si>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</si>
  <si>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</si>
  <si>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</si>
  <si>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</si>
  <si>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</si>
  <si>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</si>
  <si>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</si>
  <si>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</si>
  <si>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</si>
  <si>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</si>
  <si>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</si>
  <si>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</si>
  <si>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</si>
  <si>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</si>
  <si>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</si>
  <si>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</si>
  <si>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</si>
  <si>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</si>
  <si>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</si>
  <si>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</si>
  <si>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</si>
  <si>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</si>
  <si>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</si>
  <si>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</si>
  <si>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</si>
  <si>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</si>
  <si>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</si>
  <si>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</si>
  <si>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</si>
  <si>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</si>
  <si>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</si>
  <si>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</si>
  <si>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</si>
  <si>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</si>
  <si>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</si>
  <si>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</si>
  <si>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</si>
  <si>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</si>
  <si>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</si>
  <si>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</si>
  <si>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</si>
  <si>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</si>
  <si>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</si>
  <si>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</si>
  <si>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</si>
  <si>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</si>
  <si>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</si>
  <si>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</si>
  <si>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</si>
  <si>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</si>
  <si>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</si>
  <si>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</si>
  <si>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</si>
  <si>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</si>
  <si>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</si>
  <si>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</si>
  <si>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</si>
  <si>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</si>
  <si>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</si>
  <si>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</si>
  <si>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</si>
  <si>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</si>
  <si>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</si>
  <si>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</si>
  <si>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</si>
  <si>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</si>
  <si>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</si>
  <si>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</si>
  <si>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</si>
  <si>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</si>
  <si>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</si>
  <si>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</si>
  <si>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</si>
  <si>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</si>
  <si>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</si>
  <si>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</si>
  <si>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</si>
  <si>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</si>
  <si>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</si>
  <si>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</si>
  <si>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</si>
  <si>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</si>
  <si>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</si>
  <si>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</si>
  <si>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</si>
  <si>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</si>
  <si>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</si>
  <si>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</si>
  <si>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</si>
  <si>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</si>
  <si>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</si>
  <si>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</si>
  <si>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</si>
  <si>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</si>
  <si>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</si>
  <si>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</si>
  <si>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</si>
  <si>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</si>
  <si>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</si>
  <si>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</si>
  <si>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</si>
  <si>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</si>
  <si>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</si>
  <si>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</si>
  <si>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</si>
  <si>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</si>
  <si>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</si>
  <si>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</si>
  <si>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</si>
  <si>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</si>
  <si>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</si>
  <si>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</si>
  <si>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</si>
  <si>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</si>
  <si>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</si>
  <si>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</si>
  <si>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</si>
  <si>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</si>
  <si>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</si>
  <si>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</si>
  <si>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</si>
  <si>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</si>
  <si>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</si>
  <si>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</si>
  <si>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</si>
  <si>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</si>
  <si>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</si>
  <si>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</si>
  <si>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</si>
  <si>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</si>
  <si>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</si>
  <si>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</si>
  <si>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</si>
  <si>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</si>
  <si>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</si>
  <si>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</si>
  <si>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</si>
  <si>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</si>
  <si>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</si>
  <si>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</si>
  <si>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</si>
  <si>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</si>
  <si>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</si>
  <si>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</si>
  <si>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</si>
  <si>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</si>
  <si>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</si>
  <si>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</si>
  <si>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</si>
  <si>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</si>
  <si>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</si>
  <si>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</si>
  <si>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</si>
  <si>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</si>
  <si>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</si>
  <si>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</si>
  <si>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</si>
  <si>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</si>
  <si>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</si>
  <si>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</si>
  <si>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</si>
  <si>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</si>
  <si>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</si>
  <si>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</si>
  <si>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</si>
  <si>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</si>
  <si>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</si>
  <si>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</si>
  <si>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</si>
  <si>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</si>
  <si>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</si>
  <si>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</si>
  <si>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</si>
  <si>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</si>
  <si>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</si>
  <si>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</si>
  <si>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</si>
  <si>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</si>
  <si>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</si>
  <si>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</si>
  <si>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</si>
  <si>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</si>
  <si>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</si>
  <si>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</si>
  <si>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</si>
  <si>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</si>
  <si>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</si>
  <si>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</si>
  <si>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</si>
  <si>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</si>
  <si>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</si>
  <si>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</si>
  <si>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</si>
  <si>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</si>
  <si>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</si>
  <si>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</si>
  <si>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</si>
  <si>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</si>
  <si>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</si>
  <si>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</si>
  <si>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</si>
  <si>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</si>
  <si>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</si>
  <si>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</si>
  <si>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</si>
  <si>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</si>
  <si>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</si>
  <si>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</si>
  <si>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</si>
  <si>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</si>
  <si>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</si>
  <si>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</si>
  <si>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</si>
  <si>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</si>
  <si>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</si>
  <si>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</si>
  <si>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</si>
  <si>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</si>
  <si>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</si>
  <si>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</si>
  <si>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</si>
  <si>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</si>
  <si>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</si>
  <si>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</si>
  <si>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</si>
  <si>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</si>
  <si>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</si>
  <si>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</si>
  <si>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</si>
  <si>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</si>
  <si>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</si>
  <si>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</si>
  <si>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</si>
  <si>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</si>
  <si>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</si>
  <si>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</si>
  <si>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</si>
  <si>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</si>
  <si>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</si>
  <si>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</si>
  <si>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</si>
  <si>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</si>
  <si>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</si>
  <si>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</si>
  <si>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</si>
  <si>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</si>
  <si>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</si>
  <si>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</si>
  <si>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</si>
  <si>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</si>
  <si>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</si>
  <si>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</si>
  <si>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</si>
  <si>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</si>
  <si>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</si>
  <si>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</si>
  <si>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</si>
  <si>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</si>
  <si>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</si>
  <si>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</si>
  <si>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</si>
  <si>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</si>
  <si>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</si>
  <si>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</si>
  <si>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</si>
  <si>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</si>
  <si>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</si>
  <si>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</si>
  <si>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</si>
  <si>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</si>
  <si>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</si>
  <si>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</si>
  <si>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</si>
  <si>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</si>
  <si>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</si>
  <si>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</si>
  <si>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</si>
  <si>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</si>
  <si>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</si>
  <si>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</si>
  <si>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</si>
  <si>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</si>
  <si>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</si>
  <si>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</si>
  <si>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</si>
  <si>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</si>
  <si>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</si>
  <si>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</si>
  <si>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</si>
  <si>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</si>
  <si>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</si>
  <si>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</si>
  <si>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</si>
  <si>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</si>
  <si>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</si>
  <si>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</si>
  <si>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</si>
  <si>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</si>
  <si>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</si>
  <si>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</si>
  <si>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</si>
  <si>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</si>
  <si>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</si>
  <si>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</si>
  <si>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</si>
  <si>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</si>
  <si>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</si>
  <si>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</si>
  <si>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</si>
  <si>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</si>
  <si>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</si>
  <si>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</si>
  <si>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</si>
  <si>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</si>
  <si>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</si>
  <si>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</si>
  <si>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</si>
  <si>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</si>
  <si>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</si>
  <si>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</si>
  <si>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</si>
  <si>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</si>
  <si>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</si>
  <si>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</si>
  <si>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</si>
  <si>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</si>
  <si>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</si>
  <si>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</si>
  <si>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</si>
  <si>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</si>
  <si>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</si>
  <si>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</si>
  <si>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</si>
  <si>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</si>
  <si>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</si>
  <si>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</si>
  <si>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</si>
  <si>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</si>
  <si>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</si>
  <si>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</si>
  <si>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</si>
  <si>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</si>
  <si>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</si>
  <si>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</si>
  <si>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</si>
  <si>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</si>
  <si>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</si>
  <si>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</si>
  <si>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</si>
  <si>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</si>
  <si>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</si>
  <si>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</si>
  <si>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</si>
  <si>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</si>
  <si>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</si>
  <si>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</si>
  <si>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</si>
  <si>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</si>
  <si>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</si>
  <si>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</si>
  <si>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</si>
  <si>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</si>
  <si>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</si>
  <si>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</si>
  <si>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</si>
  <si>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</si>
  <si>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</si>
  <si>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</si>
  <si>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</si>
  <si>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</si>
  <si>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</si>
  <si>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</si>
  <si>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</si>
  <si>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</si>
  <si>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</si>
  <si>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</si>
  <si>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</si>
  <si>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</si>
  <si>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</si>
  <si>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</si>
  <si>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</si>
  <si>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</si>
  <si>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</si>
  <si>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</si>
  <si>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</si>
  <si>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</si>
  <si>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</si>
  <si>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</si>
  <si>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</si>
  <si>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</si>
  <si>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</si>
  <si>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</si>
  <si>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</si>
  <si>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</si>
  <si>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</si>
  <si>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</si>
  <si>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</si>
  <si>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</si>
  <si>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</si>
  <si>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</si>
  <si>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</si>
  <si>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</si>
  <si>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</si>
  <si>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</si>
  <si>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</si>
  <si>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</si>
  <si>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</si>
  <si>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</si>
  <si>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</si>
  <si>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</si>
  <si>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</si>
  <si>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</si>
  <si>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</si>
  <si>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</si>
  <si>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</si>
  <si>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</si>
  <si>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</si>
  <si>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</si>
  <si>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</si>
  <si>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</si>
  <si>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</si>
  <si>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</si>
  <si>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</si>
  <si>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</si>
  <si>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</si>
  <si>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</si>
  <si>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</si>
  <si>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</si>
  <si>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</si>
  <si>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</si>
  <si>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</si>
  <si>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</si>
  <si>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</si>
  <si>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</si>
  <si>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</si>
  <si>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</si>
  <si>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</si>
  <si>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</si>
  <si>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</si>
  <si>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</si>
  <si>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</si>
  <si>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</si>
  <si>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</si>
  <si>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</si>
  <si>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</si>
  <si>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</si>
  <si>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</si>
  <si>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</si>
  <si>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</si>
  <si>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</si>
  <si>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</si>
  <si>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</si>
  <si>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</si>
  <si>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</si>
  <si>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</si>
  <si>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</si>
  <si>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</si>
  <si>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</si>
  <si>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</si>
  <si>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</si>
  <si>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</si>
  <si>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</si>
  <si>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</si>
  <si>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</si>
  <si>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</si>
  <si>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</si>
  <si>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</si>
  <si>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</si>
  <si>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</si>
  <si>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</si>
  <si>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</si>
  <si>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</si>
  <si>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</si>
  <si>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</si>
  <si>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</si>
  <si>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</si>
  <si>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</si>
  <si>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</si>
  <si>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</si>
  <si>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</si>
  <si>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</si>
  <si>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</si>
  <si>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</si>
  <si>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</si>
  <si>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</si>
  <si>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</si>
  <si>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</si>
  <si>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</si>
  <si>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</si>
  <si>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</si>
  <si>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</si>
  <si>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</si>
  <si>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</si>
  <si>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</si>
  <si>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</si>
  <si>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</si>
  <si>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</si>
  <si>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</si>
  <si>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</si>
  <si>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</si>
  <si>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</si>
  <si>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</si>
  <si>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</si>
  <si>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</si>
  <si>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</si>
  <si>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</si>
  <si>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</si>
  <si>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</si>
  <si>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</si>
  <si>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</si>
  <si>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</si>
  <si>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</si>
  <si>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</si>
  <si>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</si>
  <si>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</si>
  <si>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</si>
  <si>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</si>
  <si>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</si>
  <si>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</si>
  <si>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</si>
  <si>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</si>
  <si>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</si>
  <si>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</si>
  <si>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</si>
  <si>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</si>
  <si>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</si>
  <si>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</si>
  <si>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</si>
  <si>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</si>
  <si>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</si>
  <si>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</si>
  <si>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</si>
  <si>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</si>
  <si>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</si>
  <si>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</si>
  <si>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</si>
  <si>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</si>
  <si>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</si>
  <si>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</si>
  <si>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</si>
  <si>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</si>
  <si>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</si>
  <si>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</si>
  <si>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</si>
  <si>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</si>
  <si>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</si>
  <si>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</si>
  <si>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</si>
  <si>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</si>
  <si>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</si>
  <si>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</si>
  <si>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</si>
  <si>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</si>
  <si>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</si>
  <si>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</si>
  <si>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</si>
  <si>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</si>
  <si>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</si>
  <si>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</si>
  <si>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</si>
  <si>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</si>
  <si>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</si>
  <si>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</si>
  <si>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</si>
  <si>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</si>
  <si>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</si>
  <si>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</si>
  <si>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</si>
  <si>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</si>
  <si>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</si>
  <si>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</si>
  <si>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</si>
  <si>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</si>
  <si>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</si>
  <si>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</si>
  <si>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</si>
  <si>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</si>
  <si>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</si>
  <si>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</si>
  <si>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</si>
  <si>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</si>
  <si>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</si>
  <si>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</si>
  <si>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</si>
  <si>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</si>
  <si>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</si>
  <si>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</si>
  <si>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</si>
  <si>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</si>
  <si>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</si>
  <si>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</si>
  <si>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</si>
  <si>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</si>
  <si>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</si>
  <si>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</si>
  <si>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</si>
  <si>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</si>
  <si>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</si>
  <si>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</si>
  <si>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</si>
  <si>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</si>
  <si>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</si>
  <si>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</si>
  <si>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</si>
  <si>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</si>
  <si>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</si>
  <si>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</si>
  <si>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</si>
  <si>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</si>
  <si>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</si>
  <si>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</si>
  <si>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</si>
  <si>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</si>
  <si>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</si>
  <si>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</si>
  <si>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</si>
  <si>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</si>
  <si>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</si>
  <si>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</si>
  <si>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</si>
  <si>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</si>
  <si>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</si>
  <si>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</si>
  <si>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</si>
  <si>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</si>
  <si>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</si>
  <si>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</si>
  <si>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</si>
  <si>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</si>
  <si>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</si>
  <si>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</si>
  <si>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</si>
  <si>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</si>
  <si>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</si>
  <si>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</si>
  <si>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</si>
  <si>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</si>
  <si>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</si>
  <si>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</si>
  <si>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</si>
  <si>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</si>
  <si>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</si>
  <si>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</si>
  <si>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</si>
  <si>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</si>
  <si>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</si>
  <si>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</si>
  <si>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</si>
  <si>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</si>
  <si>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</si>
  <si>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</si>
  <si>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</si>
  <si>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</si>
  <si>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</si>
  <si>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</si>
  <si>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</si>
  <si>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</si>
  <si>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</si>
  <si>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</si>
  <si>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</si>
  <si>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</si>
  <si>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</si>
  <si>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</si>
  <si>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</si>
  <si>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</si>
  <si>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</si>
  <si>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</si>
  <si>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</si>
  <si>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</si>
  <si>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</si>
  <si>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</si>
  <si>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</si>
  <si>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</si>
  <si>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</si>
  <si>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</si>
  <si>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</si>
  <si>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</si>
  <si>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</si>
  <si>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</si>
  <si>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</si>
  <si>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</si>
  <si>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</si>
  <si>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</si>
  <si>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</si>
  <si>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</si>
  <si>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</si>
  <si>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</si>
  <si>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</si>
  <si>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</si>
  <si>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</si>
  <si>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</si>
  <si>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</si>
  <si>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</si>
  <si>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</si>
  <si>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</si>
  <si>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</si>
  <si>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</si>
  <si>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</si>
  <si>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</si>
  <si>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</si>
  <si>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</si>
  <si>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</si>
  <si>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</si>
  <si>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</si>
  <si>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</si>
  <si>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</si>
  <si>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</si>
  <si>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</si>
  <si>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</si>
  <si>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</si>
  <si>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</si>
  <si>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</si>
  <si>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</si>
  <si>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</si>
  <si>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</si>
  <si>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</si>
  <si>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</si>
  <si>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</si>
  <si>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</si>
  <si>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</si>
  <si>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</si>
  <si>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</si>
  <si>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</si>
  <si>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</si>
  <si>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</si>
  <si>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</si>
  <si>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</si>
  <si>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</si>
  <si>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</si>
  <si>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</si>
  <si>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</si>
  <si>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</si>
  <si>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</si>
  <si>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</si>
  <si>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</si>
  <si>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</si>
  <si>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</si>
  <si>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</si>
  <si>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</si>
  <si>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</si>
  <si>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</si>
  <si>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</si>
  <si>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</si>
  <si>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</si>
  <si>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</si>
  <si>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</si>
  <si>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</si>
  <si>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</si>
  <si>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</si>
  <si>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</si>
  <si>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</si>
  <si>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</si>
  <si>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</si>
  <si>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</si>
  <si>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</si>
  <si>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</si>
  <si>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</si>
  <si>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</si>
  <si>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</si>
  <si>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</si>
  <si>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</si>
  <si>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</si>
  <si>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</si>
  <si>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</si>
  <si>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</si>
  <si>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</si>
  <si>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</si>
  <si>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</si>
  <si>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</si>
  <si>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</si>
  <si>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</si>
  <si>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</si>
  <si>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</si>
  <si>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</si>
  <si>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</si>
  <si>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</si>
  <si>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</si>
  <si>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</si>
  <si>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</si>
  <si>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</si>
  <si>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</si>
  <si>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</si>
  <si>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</si>
  <si>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</si>
  <si>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</si>
  <si>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</si>
  <si>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</si>
  <si>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</si>
  <si>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</si>
  <si>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</si>
  <si>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</si>
  <si>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</si>
  <si>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</si>
  <si>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</si>
  <si>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</si>
  <si>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</si>
  <si>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</si>
  <si>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</si>
  <si>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</si>
  <si>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</si>
  <si>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</si>
  <si>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</si>
  <si>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</si>
  <si>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</si>
  <si>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</si>
  <si>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</si>
  <si>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</si>
  <si>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</si>
  <si>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</si>
  <si>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</si>
  <si>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</si>
  <si>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</si>
  <si>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</si>
  <si>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</si>
  <si>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</si>
  <si>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</si>
  <si>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</si>
  <si>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</si>
  <si>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</si>
  <si>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</si>
  <si>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</si>
  <si>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</si>
  <si>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</si>
  <si>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</si>
  <si>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</si>
  <si>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</si>
  <si>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</si>
  <si>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</si>
  <si>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</si>
  <si>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</si>
  <si>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</si>
  <si>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</si>
  <si>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</si>
  <si>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</si>
  <si>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</si>
  <si>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</si>
  <si>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</si>
  <si>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</si>
  <si>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</si>
  <si>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</si>
  <si>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</si>
  <si>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</si>
  <si>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</si>
  <si>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</si>
  <si>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</si>
  <si>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</si>
  <si>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</si>
  <si>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</si>
  <si>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</si>
  <si>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</si>
  <si>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</si>
  <si>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</si>
  <si>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</si>
  <si>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</si>
  <si>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</si>
  <si>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</si>
  <si>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</si>
  <si>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</si>
  <si>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</si>
  <si>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</si>
  <si>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</si>
  <si>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</si>
  <si>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</si>
  <si>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</si>
  <si>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</si>
  <si>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</si>
  <si>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</si>
  <si>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</si>
  <si>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</si>
  <si>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</si>
  <si>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</si>
  <si>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</si>
  <si>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</si>
  <si>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</si>
  <si>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</si>
  <si>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</si>
  <si>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</si>
  <si>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</si>
  <si>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</si>
  <si>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</si>
  <si>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</si>
  <si>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</si>
  <si>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</si>
  <si>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</si>
  <si>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</si>
  <si>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</si>
  <si>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</si>
  <si>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</si>
  <si>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</si>
  <si>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</si>
  <si>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</si>
  <si>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</si>
  <si>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</si>
  <si>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</si>
  <si>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</si>
  <si>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</si>
  <si>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</si>
  <si>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</si>
  <si>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</si>
  <si>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</si>
  <si>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</si>
  <si>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</si>
  <si>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</si>
  <si>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</si>
  <si>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</si>
  <si>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</si>
  <si>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</si>
  <si>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</si>
  <si>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</si>
  <si>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</si>
  <si>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</si>
  <si>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</si>
  <si>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</si>
  <si>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</si>
  <si>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</si>
  <si>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</si>
  <si>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</si>
  <si>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</si>
  <si>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</si>
  <si>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</si>
  <si>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</si>
  <si>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</si>
  <si>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</si>
  <si>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</si>
  <si>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</si>
  <si>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</si>
  <si>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</si>
  <si>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</si>
  <si>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</si>
  <si>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</si>
  <si>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</si>
  <si>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</si>
  <si>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</si>
  <si>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</si>
  <si>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</si>
  <si>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</si>
  <si>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</si>
  <si>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</si>
  <si>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</si>
  <si>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</si>
  <si>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</si>
  <si>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</si>
  <si>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</si>
  <si>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</si>
  <si>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</si>
  <si>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</si>
  <si>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</si>
  <si>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</si>
  <si>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</si>
  <si>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</si>
  <si>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</si>
  <si>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</si>
  <si>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</si>
  <si>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</si>
  <si>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</si>
  <si>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</si>
  <si>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</si>
  <si>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</si>
  <si>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</si>
  <si>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</si>
  <si>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</si>
  <si>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</si>
  <si>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</si>
  <si>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</si>
  <si>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</si>
  <si>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</si>
  <si>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</si>
  <si>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</si>
  <si>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</si>
  <si>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</si>
  <si>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</si>
  <si>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</si>
  <si>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</si>
  <si>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</si>
  <si>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</si>
  <si>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</si>
  <si>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</si>
  <si>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</si>
  <si>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</si>
  <si>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</si>
  <si>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</si>
  <si>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</si>
  <si>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</si>
  <si>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</si>
  <si>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</si>
  <si>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</si>
  <si>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</si>
  <si>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</si>
  <si>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</si>
  <si>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</si>
  <si>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</si>
  <si>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</si>
  <si>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</si>
  <si>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</si>
  <si>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</si>
  <si>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</si>
  <si>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</si>
  <si>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</si>
  <si>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</si>
  <si>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</si>
  <si>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</si>
  <si>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</si>
  <si>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</si>
  <si>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</si>
  <si>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</si>
  <si>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</si>
  <si>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</si>
  <si>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</si>
  <si>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</si>
  <si>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</si>
  <si>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</si>
  <si>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</si>
  <si>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</si>
  <si>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</si>
  <si>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</si>
  <si>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</si>
  <si>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</si>
  <si>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</si>
  <si>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</si>
  <si>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</si>
  <si>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</si>
  <si>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</si>
  <si>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</si>
  <si>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</si>
  <si>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</si>
  <si>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</si>
  <si>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</si>
  <si>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</si>
  <si>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</si>
  <si>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</si>
  <si>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</si>
  <si>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</si>
  <si>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</si>
  <si>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</si>
  <si>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</si>
  <si>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</si>
  <si>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</si>
  <si>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</si>
  <si>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</si>
  <si>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</si>
  <si>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</si>
  <si>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</si>
  <si>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</si>
  <si>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</si>
  <si>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</si>
  <si>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</si>
  <si>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</si>
  <si>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</si>
  <si>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</si>
  <si>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</si>
  <si>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</si>
  <si>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</si>
  <si>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</si>
  <si>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</si>
  <si>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</si>
  <si>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</si>
  <si>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</si>
  <si>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</si>
  <si>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</si>
  <si>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</si>
  <si>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</si>
  <si>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</si>
  <si>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</si>
  <si>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</si>
  <si>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</si>
  <si>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</si>
  <si>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</si>
  <si>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</si>
  <si>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</si>
  <si>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</si>
  <si>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</si>
  <si>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</si>
  <si>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</si>
  <si>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</si>
  <si>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</si>
  <si>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</si>
  <si>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</si>
  <si>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</si>
  <si>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</si>
  <si>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</si>
  <si>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</si>
  <si>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</si>
  <si>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</si>
  <si>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</si>
  <si>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</si>
  <si>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</si>
  <si>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</si>
  <si>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</si>
  <si>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</si>
  <si>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</si>
  <si>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</si>
  <si>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</si>
  <si>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</si>
  <si>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</si>
  <si>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</si>
  <si>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</si>
  <si>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</si>
  <si>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</si>
  <si>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</si>
  <si>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</si>
  <si>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</si>
  <si>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</si>
  <si>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</si>
  <si>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</si>
  <si>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</si>
  <si>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</si>
  <si>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</si>
  <si>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</si>
  <si>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</si>
  <si>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</si>
  <si>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</si>
  <si>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</si>
  <si>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</si>
  <si>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</si>
  <si>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</si>
  <si>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</si>
  <si>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</si>
  <si>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</si>
  <si>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</si>
  <si>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</si>
  <si>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</si>
  <si>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</si>
  <si>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</si>
  <si>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</si>
  <si>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</si>
  <si>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</si>
  <si>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</si>
  <si>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</si>
  <si>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</si>
  <si>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</si>
  <si>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</si>
  <si>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</si>
  <si>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</si>
  <si>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</si>
  <si>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</si>
  <si>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</si>
  <si>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</si>
  <si>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</si>
  <si>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</si>
  <si>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</si>
  <si>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</si>
  <si>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</si>
  <si>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</si>
  <si>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</si>
  <si>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</si>
  <si>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</si>
  <si>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</si>
  <si>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</si>
  <si>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</si>
  <si>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</si>
  <si>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</si>
  <si>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</si>
  <si>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</si>
  <si>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</si>
  <si>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</si>
  <si>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</si>
  <si>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</si>
  <si>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</si>
  <si>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</si>
  <si>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</si>
  <si>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</si>
  <si>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</si>
  <si>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</si>
  <si>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</si>
  <si>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</si>
  <si>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</si>
  <si>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</si>
  <si>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</si>
  <si>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</si>
  <si>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</si>
  <si>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</si>
  <si>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</si>
  <si>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</si>
  <si>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</si>
  <si>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</si>
  <si>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</si>
  <si>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</si>
  <si>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</si>
  <si>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</si>
  <si>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</si>
  <si>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</si>
  <si>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</si>
  <si>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</si>
  <si>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</si>
  <si>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</si>
  <si>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</si>
  <si>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</si>
  <si>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</si>
  <si>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</si>
  <si>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</si>
  <si>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</si>
  <si>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</si>
  <si>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</si>
  <si>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</si>
  <si>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</si>
  <si>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</si>
  <si>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</si>
  <si>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</si>
  <si>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</si>
  <si>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</si>
  <si>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</si>
  <si>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</si>
  <si>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</si>
  <si>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</si>
  <si>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</si>
  <si>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</si>
  <si>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</si>
  <si>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</si>
  <si>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</si>
  <si>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</si>
  <si>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</si>
  <si>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</si>
  <si>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</si>
  <si>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</si>
  <si>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</si>
  <si>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</si>
  <si>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</si>
  <si>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</si>
  <si>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</si>
  <si>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</si>
  <si>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</si>
  <si>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</si>
  <si>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</si>
  <si>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</si>
  <si>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</si>
  <si>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</si>
  <si>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</si>
  <si>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</si>
  <si>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</si>
  <si>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</si>
  <si>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</si>
  <si>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</si>
  <si>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</si>
  <si>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</si>
  <si>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</si>
  <si>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</si>
  <si>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</si>
  <si>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</si>
  <si>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</si>
  <si>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</si>
  <si>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</si>
  <si>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</si>
  <si>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</si>
  <si>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</si>
  <si>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</si>
  <si>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</si>
  <si>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</si>
  <si>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</si>
  <si>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</si>
  <si>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</si>
  <si>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</si>
  <si>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</si>
  <si>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</si>
  <si>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</si>
  <si>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</si>
  <si>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</si>
  <si>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</si>
  <si>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</si>
  <si>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</si>
  <si>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</si>
  <si>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</si>
  <si>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</si>
  <si>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</si>
  <si>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</si>
  <si>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</si>
  <si>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</si>
  <si>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</si>
  <si>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</si>
  <si>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</si>
  <si>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</si>
  <si>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</si>
  <si>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</si>
  <si>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</si>
  <si>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</si>
  <si>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</si>
  <si>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</si>
  <si>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</si>
  <si>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</si>
  <si>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</si>
  <si>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</si>
  <si>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</si>
  <si>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</si>
  <si>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</si>
  <si>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</si>
  <si>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</si>
  <si>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</si>
  <si>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</si>
  <si>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</si>
  <si>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</si>
  <si>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</si>
  <si>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</si>
  <si>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</si>
  <si>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</si>
  <si>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</si>
  <si>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</si>
  <si>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</si>
  <si>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</si>
  <si>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</si>
  <si>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</si>
  <si>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</si>
  <si>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</si>
  <si>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</si>
  <si>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</si>
  <si>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</si>
  <si>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</si>
  <si>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</si>
  <si>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</si>
  <si>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</si>
  <si>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</si>
  <si>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</si>
  <si>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</si>
  <si>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</si>
  <si>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</si>
  <si>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</si>
  <si>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</si>
  <si>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</si>
  <si>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</si>
  <si>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</si>
  <si>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</si>
  <si>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</si>
  <si>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</si>
  <si>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</si>
  <si>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</si>
  <si>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</si>
  <si>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</si>
  <si>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</si>
  <si>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</si>
  <si>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</si>
  <si>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</si>
  <si>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</si>
  <si>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</si>
  <si>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</si>
  <si>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</si>
  <si>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</si>
  <si>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</si>
  <si>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</si>
  <si>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</si>
  <si>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</si>
  <si>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</si>
  <si>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</si>
  <si>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</si>
  <si>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</si>
  <si>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</si>
  <si>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</si>
  <si>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</si>
  <si>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</si>
  <si>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</si>
  <si>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</si>
  <si>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</si>
  <si>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</si>
  <si>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</si>
  <si>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</si>
  <si>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</si>
  <si>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</si>
  <si>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</si>
  <si>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</si>
  <si>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</si>
  <si>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</si>
  <si>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</si>
  <si>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</si>
  <si>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</si>
  <si>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</si>
  <si>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</si>
  <si>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</si>
  <si>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</si>
  <si>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</si>
  <si>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</si>
  <si>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</si>
  <si>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</si>
  <si>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</si>
  <si>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</si>
  <si>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</si>
  <si>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</si>
  <si>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</si>
  <si>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</si>
  <si>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</si>
  <si>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</si>
  <si>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</si>
  <si>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</si>
  <si>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</si>
  <si>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</si>
  <si>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</si>
  <si>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</si>
  <si>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</si>
  <si>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</si>
  <si>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</si>
  <si>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</si>
  <si>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</si>
  <si>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</si>
  <si>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</si>
  <si>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</si>
  <si>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</si>
  <si>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</si>
  <si>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</si>
  <si>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</si>
  <si>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</si>
  <si>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</si>
  <si>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</si>
  <si>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</si>
  <si>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</si>
  <si>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</si>
  <si>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</si>
  <si>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</si>
  <si>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</si>
  <si>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</si>
  <si>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</si>
  <si>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</si>
  <si>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</si>
  <si>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</si>
  <si>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</si>
  <si>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</si>
  <si>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</si>
  <si>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</si>
  <si>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</si>
  <si>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</si>
  <si>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</si>
  <si>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</si>
  <si>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</si>
  <si>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</si>
  <si>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</si>
  <si>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</si>
  <si>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</si>
  <si>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</si>
  <si>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</si>
  <si>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</si>
  <si>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</si>
  <si>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</si>
  <si>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</si>
  <si>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</si>
  <si>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</si>
  <si>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</si>
  <si>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</si>
  <si>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</si>
  <si>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</si>
  <si>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</si>
  <si>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</si>
  <si>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</si>
  <si>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</si>
  <si>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</si>
  <si>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</si>
  <si>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</si>
  <si>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</si>
  <si>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</si>
  <si>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</si>
  <si>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</si>
  <si>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</si>
  <si>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</si>
  <si>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</si>
  <si>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</si>
  <si>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</si>
  <si>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</si>
  <si>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</si>
  <si>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</si>
  <si>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</si>
  <si>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</si>
  <si>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</si>
  <si>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</si>
  <si>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</si>
  <si>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</si>
  <si>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</si>
  <si>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</si>
  <si>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</si>
  <si>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</si>
  <si>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</si>
  <si>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</si>
  <si>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</si>
  <si>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</si>
  <si>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</si>
  <si>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</si>
  <si>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</si>
  <si>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</si>
  <si>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</si>
  <si>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</si>
  <si>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</si>
  <si>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</si>
  <si>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</si>
  <si>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</si>
  <si>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</si>
  <si>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</si>
  <si>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</si>
  <si>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</si>
  <si>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</si>
  <si>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</si>
  <si>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</si>
  <si>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</si>
  <si>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</si>
  <si>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</si>
  <si>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</si>
  <si>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</si>
  <si>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</si>
  <si>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</si>
  <si>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</si>
  <si>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</si>
  <si>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</si>
  <si>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</si>
  <si>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</si>
  <si>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</si>
  <si>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</si>
  <si>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</si>
  <si>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</si>
  <si>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</si>
  <si>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</si>
  <si>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</si>
  <si>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</si>
  <si>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</si>
  <si>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</si>
  <si>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</si>
  <si>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</si>
  <si>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</si>
  <si>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</si>
  <si>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</si>
  <si>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</si>
  <si>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</si>
  <si>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</si>
  <si>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</si>
  <si>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</si>
  <si>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</si>
  <si>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</si>
  <si>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</si>
  <si>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</si>
  <si>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</si>
  <si>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</si>
  <si>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</si>
  <si>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</si>
  <si>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</si>
  <si>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</si>
  <si>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</si>
  <si>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</si>
  <si>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</si>
  <si>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</si>
  <si>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</si>
  <si>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</si>
  <si>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</si>
  <si>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</si>
  <si>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</si>
  <si>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</si>
  <si>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</si>
  <si>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</si>
  <si>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</si>
  <si>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</si>
  <si>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</si>
  <si>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</si>
  <si>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</si>
  <si>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</si>
  <si>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</si>
  <si>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</si>
  <si>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</si>
  <si>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</si>
  <si>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</si>
  <si>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</si>
  <si>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</si>
  <si>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</si>
  <si>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</si>
  <si>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</si>
  <si>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</si>
  <si>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</si>
  <si>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</si>
  <si>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</si>
  <si>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</si>
  <si>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</si>
  <si>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</si>
  <si>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</si>
  <si>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</si>
  <si>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</si>
  <si>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</si>
  <si>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</si>
  <si>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</si>
  <si>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</si>
  <si>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</si>
  <si>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</si>
  <si>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</si>
  <si>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</si>
  <si>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</si>
  <si>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</si>
  <si>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</si>
  <si>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</si>
  <si>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</si>
  <si>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</si>
  <si>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</si>
  <si>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</si>
  <si>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</si>
  <si>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</si>
  <si>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</si>
  <si>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</si>
  <si>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</si>
  <si>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</si>
  <si>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</si>
  <si>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</si>
  <si>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</si>
  <si>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</si>
  <si>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</si>
  <si>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</si>
  <si>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</si>
  <si>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</si>
  <si>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</si>
  <si>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</si>
  <si>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</si>
  <si>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</si>
  <si>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</si>
  <si>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</si>
  <si>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</si>
  <si>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</si>
  <si>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</si>
  <si>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</si>
  <si>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</si>
  <si>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</si>
  <si>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</si>
  <si>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</si>
  <si>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</si>
  <si>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</si>
  <si>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</si>
  <si>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</si>
  <si>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</si>
  <si>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</si>
  <si>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</si>
  <si>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</si>
  <si>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</si>
  <si>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</si>
  <si>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</si>
  <si>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</si>
  <si>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</si>
  <si>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</si>
  <si>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</si>
  <si>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</si>
  <si>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</si>
  <si>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</si>
  <si>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</si>
  <si>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</si>
  <si>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</si>
  <si>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</si>
  <si>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</si>
  <si>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</si>
  <si>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</si>
  <si>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</si>
  <si>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</si>
  <si>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</si>
  <si>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</si>
  <si>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</si>
  <si>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</si>
  <si>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</si>
  <si>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</si>
  <si>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</si>
  <si>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</si>
  <si>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</si>
  <si>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</si>
  <si>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</si>
  <si>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</si>
  <si>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</si>
  <si>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</si>
  <si>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</si>
  <si>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</si>
  <si>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</si>
  <si>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</si>
  <si>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</si>
  <si>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</si>
  <si>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</si>
  <si>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</si>
  <si>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</si>
  <si>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</si>
  <si>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</si>
  <si>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</si>
  <si>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</si>
  <si>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</si>
  <si>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</si>
  <si>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</si>
  <si>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</si>
  <si>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</si>
  <si>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</si>
  <si>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</si>
  <si>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</si>
  <si>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</si>
  <si>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</si>
  <si>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</si>
  <si>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</si>
  <si>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</si>
  <si>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</si>
  <si>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</si>
  <si>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</si>
  <si>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</si>
  <si>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</si>
  <si>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</si>
  <si>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</si>
  <si>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</si>
  <si>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</si>
  <si>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</si>
  <si>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</si>
  <si>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</si>
  <si>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</si>
  <si>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</si>
  <si>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</si>
  <si>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</si>
  <si>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</si>
  <si>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</si>
  <si>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</si>
  <si>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</si>
  <si>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</si>
  <si>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</si>
  <si>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</si>
  <si>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</si>
  <si>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</si>
  <si>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</si>
  <si>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</si>
  <si>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</si>
  <si>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</si>
  <si>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</si>
  <si>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</si>
  <si>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</si>
  <si>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</si>
  <si>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</si>
  <si>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</si>
  <si>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</si>
  <si>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</si>
  <si>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</si>
  <si>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</si>
  <si>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</si>
  <si>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</si>
  <si>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</si>
  <si>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</si>
  <si>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</si>
  <si>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</si>
  <si>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</si>
  <si>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</si>
  <si>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</si>
  <si>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</si>
  <si>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</si>
  <si>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</si>
  <si>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</si>
  <si>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</si>
  <si>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</si>
  <si>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</si>
  <si>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</si>
  <si>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</si>
  <si>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</si>
  <si>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</si>
  <si>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</si>
  <si>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</si>
  <si>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</si>
  <si>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</si>
  <si>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</si>
  <si>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</si>
  <si>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</si>
  <si>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</si>
  <si>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</si>
  <si>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</si>
  <si>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</si>
  <si>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</si>
  <si>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</si>
  <si>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</si>
  <si>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</si>
  <si>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</si>
  <si>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</si>
  <si>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</si>
  <si>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</si>
  <si>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</si>
  <si>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</si>
  <si>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</si>
  <si>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</si>
  <si>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</si>
  <si>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</si>
  <si>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</si>
  <si>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</si>
  <si>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</si>
  <si>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</si>
  <si>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</si>
  <si>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</si>
  <si>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</si>
  <si>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</si>
  <si>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</si>
  <si>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</si>
  <si>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</si>
  <si>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</si>
  <si>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</si>
  <si>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</si>
  <si>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</si>
  <si>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</si>
  <si>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</si>
  <si>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</si>
  <si>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</si>
  <si>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</si>
  <si>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</si>
  <si>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</si>
  <si>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</si>
  <si>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</si>
  <si>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</si>
  <si>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</si>
  <si>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</si>
  <si>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</si>
  <si>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</si>
  <si>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</si>
  <si>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</si>
  <si>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</si>
  <si>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</si>
  <si>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</si>
  <si>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</si>
  <si>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</si>
  <si>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</si>
  <si>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</si>
  <si>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</si>
  <si>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</si>
  <si>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</si>
  <si>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</si>
  <si>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</si>
  <si>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</si>
  <si>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</si>
  <si>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</si>
  <si>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</si>
  <si>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</si>
  <si>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</si>
  <si>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</si>
  <si>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</si>
  <si>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</si>
  <si>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</si>
  <si>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</si>
  <si>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</si>
  <si>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</si>
  <si>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</si>
  <si>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</si>
  <si>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</si>
  <si>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</si>
  <si>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</si>
  <si>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</si>
  <si>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</si>
  <si>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</si>
  <si>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</si>
  <si>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</si>
  <si>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</si>
  <si>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</si>
  <si>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</si>
  <si>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</si>
  <si>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</si>
  <si>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</si>
  <si>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</si>
  <si>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</si>
  <si>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</si>
  <si>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</si>
  <si>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</si>
  <si>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</si>
  <si>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</si>
  <si>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</si>
  <si>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</si>
  <si>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</si>
  <si>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</si>
  <si>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</si>
  <si>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</si>
  <si>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</si>
  <si>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</si>
  <si>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</si>
  <si>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</si>
  <si>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</si>
  <si>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</si>
  <si>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</si>
  <si>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</si>
  <si>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</si>
  <si>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</si>
  <si>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</si>
  <si>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</si>
  <si>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</si>
  <si>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</si>
  <si>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</si>
  <si>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</si>
  <si>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</si>
  <si>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</si>
  <si>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</si>
  <si>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</si>
  <si>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</si>
  <si>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</si>
  <si>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</si>
  <si>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</si>
  <si>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</si>
  <si>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</si>
  <si>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</si>
  <si>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</si>
  <si>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</si>
  <si>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</si>
  <si>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</si>
  <si>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</si>
  <si>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</si>
  <si>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</si>
  <si>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</si>
  <si>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</si>
  <si>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</si>
  <si>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</si>
  <si>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</si>
  <si>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</si>
  <si>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</si>
  <si>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</si>
  <si>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</si>
  <si>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</si>
  <si>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</si>
  <si>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</si>
  <si>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</si>
  <si>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</si>
  <si>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</si>
  <si>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</si>
  <si>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</si>
  <si>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</si>
  <si>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</si>
  <si>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</si>
  <si>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</si>
  <si>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</si>
  <si>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</si>
  <si>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</si>
  <si>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</si>
  <si>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</si>
  <si>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</si>
  <si>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</si>
  <si>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</si>
  <si>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</si>
  <si>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</si>
  <si>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</si>
  <si>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</si>
  <si>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</si>
  <si>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</si>
  <si>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</si>
  <si>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</si>
  <si>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</si>
  <si>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</si>
  <si>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</si>
  <si>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</si>
  <si>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</si>
  <si>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</si>
  <si>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</si>
  <si>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</si>
  <si>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</si>
  <si>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</si>
  <si>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</si>
  <si>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</si>
  <si>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</si>
  <si>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</si>
  <si>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</si>
  <si>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</si>
  <si>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</si>
  <si>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</si>
  <si>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</si>
  <si>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</si>
  <si>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</si>
  <si>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</si>
  <si>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</si>
  <si>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</si>
  <si>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</si>
  <si>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</si>
  <si>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</si>
  <si>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</si>
  <si>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</si>
  <si>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</si>
  <si>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</si>
  <si>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</si>
  <si>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</si>
  <si>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</si>
  <si>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</si>
  <si>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</si>
  <si>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</si>
  <si>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</si>
  <si>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</si>
  <si>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</si>
  <si>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</si>
  <si>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</si>
  <si>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</si>
  <si>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</si>
  <si>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</si>
  <si>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</si>
  <si>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</si>
  <si>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</si>
  <si>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</si>
  <si>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</si>
  <si>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</si>
  <si>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</si>
  <si>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</si>
  <si>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</si>
  <si>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</si>
  <si>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</si>
  <si>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</si>
  <si>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</si>
  <si>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</si>
  <si>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</si>
  <si>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</si>
  <si>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</si>
  <si>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</si>
  <si>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</si>
  <si>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</si>
  <si>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</si>
  <si>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</si>
  <si>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</si>
  <si>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</si>
  <si>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</si>
  <si>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</si>
  <si>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</si>
  <si>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</si>
  <si>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</si>
  <si>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</si>
  <si>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</si>
  <si>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</si>
  <si>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</si>
  <si>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</si>
  <si>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</si>
  <si>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</si>
  <si>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</si>
  <si>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</si>
  <si>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</si>
  <si>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</si>
  <si>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</si>
  <si>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</si>
  <si>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</si>
  <si>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</si>
  <si>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</si>
  <si>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</si>
  <si>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</si>
  <si>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</si>
  <si>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</si>
  <si>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</si>
  <si>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</si>
  <si>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</si>
  <si>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</si>
  <si>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</si>
  <si>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</si>
  <si>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</si>
  <si>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</si>
  <si>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</si>
  <si>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</si>
  <si>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</si>
  <si>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</si>
  <si>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</si>
  <si>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</si>
  <si>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</si>
  <si>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</si>
  <si>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</si>
  <si>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</si>
  <si>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</si>
  <si>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</si>
  <si>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</si>
  <si>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</si>
  <si>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</si>
  <si>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</si>
  <si>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</si>
  <si>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</si>
  <si>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</si>
  <si>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</si>
  <si>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</si>
  <si>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</si>
  <si>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</si>
  <si>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</si>
  <si>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</si>
  <si>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</si>
  <si>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</si>
  <si>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</si>
  <si>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</si>
  <si>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</si>
  <si>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</si>
  <si>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</si>
  <si>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</si>
  <si>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</si>
  <si>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</si>
  <si>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</si>
  <si>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</si>
  <si>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</si>
  <si>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</si>
  <si>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</si>
  <si>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</si>
  <si>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</si>
  <si>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</si>
  <si>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</si>
  <si>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</si>
  <si>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</si>
  <si>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</si>
  <si>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</si>
  <si>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</si>
  <si>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</si>
  <si>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</si>
  <si>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</si>
  <si>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</si>
  <si>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</si>
  <si>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</si>
  <si>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</si>
  <si>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</si>
  <si>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</si>
  <si>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</si>
  <si>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</si>
  <si>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</si>
  <si>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</si>
  <si>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</si>
  <si>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</si>
  <si>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</si>
  <si>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</si>
  <si>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</si>
  <si>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</si>
  <si>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</si>
  <si>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</si>
  <si>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</si>
  <si>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</si>
  <si>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</si>
  <si>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</si>
  <si>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</si>
  <si>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</si>
  <si>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</si>
  <si>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</si>
  <si>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</si>
  <si>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</si>
  <si>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</si>
  <si>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</si>
  <si>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</si>
  <si>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</si>
  <si>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</si>
  <si>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</si>
  <si>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</si>
  <si>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</si>
  <si>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</si>
  <si>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</si>
  <si>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</si>
  <si>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</si>
  <si>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</si>
  <si>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</si>
  <si>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</si>
  <si>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</si>
  <si>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</si>
  <si>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</si>
  <si>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</si>
  <si>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</si>
  <si>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</si>
  <si>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</si>
  <si>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</si>
  <si>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</si>
  <si>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</si>
  <si>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</si>
  <si>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</si>
  <si>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</si>
  <si>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</si>
  <si>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</si>
  <si>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</si>
  <si>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</si>
  <si>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</si>
  <si>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</si>
  <si>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</si>
  <si>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</si>
  <si>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</si>
  <si>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</si>
  <si>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</si>
  <si>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</si>
  <si>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</si>
  <si>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</si>
  <si>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</si>
  <si>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</si>
  <si>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</si>
  <si>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</si>
  <si>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</si>
  <si>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</si>
  <si>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</si>
  <si>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</si>
  <si>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</si>
  <si>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</si>
  <si>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</si>
  <si>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</si>
  <si>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</si>
  <si>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</si>
  <si>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</si>
  <si>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</si>
  <si>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</si>
  <si>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</si>
  <si>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</si>
  <si>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</si>
  <si>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</si>
  <si>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</si>
  <si>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</si>
  <si>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</si>
  <si>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</si>
  <si>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</si>
  <si>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</si>
  <si>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</si>
  <si>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</si>
  <si>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</si>
  <si>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</si>
  <si>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</si>
  <si>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</si>
  <si>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</si>
  <si>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</si>
  <si>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</si>
  <si>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</si>
  <si>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</si>
  <si>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</si>
  <si>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</si>
  <si>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</si>
  <si>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</si>
  <si>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</si>
  <si>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</si>
  <si>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</si>
  <si>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</si>
  <si>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</si>
  <si>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</si>
  <si>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</si>
  <si>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</si>
  <si>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</si>
  <si>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</si>
  <si>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</si>
  <si>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</si>
  <si>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</si>
  <si>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</si>
  <si>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</si>
  <si>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</si>
  <si>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</si>
  <si>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</si>
  <si>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</si>
  <si>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</si>
  <si>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</si>
  <si>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</si>
  <si>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</si>
  <si>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</si>
  <si>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</si>
  <si>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</si>
  <si>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</si>
  <si>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</si>
  <si>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</si>
  <si>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</si>
  <si>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</si>
  <si>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</si>
  <si>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</si>
  <si>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</si>
  <si>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</si>
  <si>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</si>
  <si>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</si>
  <si>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</si>
  <si>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</si>
  <si>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</si>
  <si>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</si>
  <si>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</si>
  <si>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</si>
  <si>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</si>
  <si>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</si>
  <si>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</si>
  <si>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</si>
  <si>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</si>
  <si>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</si>
  <si>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</si>
  <si>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</si>
  <si>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</si>
  <si>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</si>
  <si>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</si>
  <si>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</si>
  <si>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</si>
  <si>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</si>
  <si>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</si>
  <si>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</si>
  <si>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</si>
  <si>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</si>
  <si>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</si>
  <si>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</si>
  <si>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</si>
  <si>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</si>
  <si>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</si>
  <si>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</si>
  <si>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</si>
  <si>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</si>
  <si>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</si>
  <si>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</si>
  <si>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</si>
  <si>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</si>
  <si>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</si>
  <si>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</si>
  <si>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</si>
  <si>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</si>
  <si>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</si>
  <si>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</si>
  <si>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</si>
  <si>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</si>
  <si>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</si>
  <si>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</si>
  <si>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</si>
  <si>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</si>
  <si>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</si>
  <si>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</si>
  <si>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</si>
  <si>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</si>
  <si>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</si>
  <si>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</si>
  <si>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</si>
  <si>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</si>
  <si>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</si>
  <si>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</si>
  <si>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</si>
  <si>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</si>
  <si>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</si>
  <si>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</si>
  <si>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</si>
  <si>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</si>
  <si>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</si>
  <si>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</si>
  <si>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</si>
  <si>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</si>
  <si>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</si>
  <si>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</si>
  <si>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</si>
  <si>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</si>
  <si>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</si>
  <si>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</si>
  <si>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</si>
  <si>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</si>
  <si>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</si>
  <si>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</si>
  <si>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</si>
  <si>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</si>
  <si>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</si>
  <si>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</si>
  <si>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</si>
  <si>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</si>
  <si>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</si>
  <si>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</si>
  <si>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</si>
  <si>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</si>
  <si>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</si>
  <si>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</si>
  <si>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</si>
  <si>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</si>
  <si>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</si>
  <si>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</si>
  <si>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</si>
  <si>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</si>
  <si>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</si>
  <si>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</si>
  <si>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</si>
  <si>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</si>
  <si>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</si>
  <si>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</si>
  <si>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</si>
  <si>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</si>
  <si>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</si>
  <si>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</si>
  <si>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</si>
  <si>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</si>
  <si>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</si>
  <si>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</si>
  <si>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</si>
  <si>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</si>
  <si>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</si>
  <si>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</si>
  <si>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</si>
  <si>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</si>
  <si>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</si>
  <si>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</si>
  <si>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</si>
  <si>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</si>
  <si>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</si>
  <si>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</si>
  <si>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</si>
  <si>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</si>
  <si>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</si>
  <si>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</si>
  <si>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</si>
  <si>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</si>
  <si>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</si>
  <si>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</si>
  <si>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</si>
  <si>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</si>
  <si>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</si>
  <si>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</si>
  <si>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</si>
  <si>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</si>
  <si>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</si>
  <si>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</si>
  <si>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</si>
  <si>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</si>
  <si>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</si>
  <si>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</si>
  <si>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</si>
  <si>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</si>
  <si>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</si>
  <si>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</si>
  <si>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</si>
  <si>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</si>
  <si>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</si>
  <si>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</si>
  <si>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</si>
  <si>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</si>
  <si>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</si>
  <si>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</si>
  <si>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</si>
  <si>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</si>
  <si>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</si>
  <si>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</si>
  <si>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</si>
  <si>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</si>
  <si>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</si>
  <si>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</si>
  <si>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</si>
  <si>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</si>
  <si>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</si>
  <si>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</si>
  <si>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</si>
  <si>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</si>
  <si>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</si>
  <si>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</si>
  <si>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</si>
  <si>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</si>
  <si>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</si>
  <si>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</si>
  <si>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</si>
  <si>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</si>
  <si>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</si>
  <si>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</si>
  <si>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</si>
  <si>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</si>
  <si>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</si>
  <si>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</si>
  <si>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</si>
  <si>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</si>
  <si>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</si>
  <si>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</si>
  <si>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</si>
  <si>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</si>
  <si>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</si>
  <si>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</si>
  <si>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</si>
  <si>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</si>
  <si>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</si>
  <si>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</si>
  <si>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</si>
  <si>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</si>
  <si>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</si>
  <si>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</si>
  <si>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</si>
  <si>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</si>
  <si>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</si>
  <si>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</si>
  <si>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</si>
  <si>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</si>
  <si>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</si>
  <si>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</si>
  <si>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</si>
  <si>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</si>
  <si>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</si>
  <si>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</si>
  <si>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</si>
  <si>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</si>
  <si>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</si>
  <si>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</si>
  <si>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</si>
  <si>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</si>
  <si>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</si>
  <si>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</si>
  <si>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</si>
  <si>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</si>
  <si>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</si>
  <si>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</si>
  <si>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</si>
  <si>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</si>
  <si>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</si>
  <si>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</si>
  <si>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</si>
  <si>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</si>
  <si>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</si>
  <si>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</si>
  <si>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</si>
  <si>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</si>
  <si>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</si>
  <si>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</si>
  <si>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</si>
  <si>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</si>
  <si>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</si>
  <si>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</si>
  <si>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</si>
  <si>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</si>
  <si>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</si>
  <si>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</si>
  <si>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</si>
  <si>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</si>
  <si>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</si>
  <si>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</si>
  <si>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</si>
  <si>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</si>
  <si>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</si>
  <si>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</si>
  <si>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</si>
  <si>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</si>
  <si>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</si>
  <si>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</si>
  <si>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</si>
  <si>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</si>
  <si>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</si>
  <si>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</si>
  <si>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</si>
  <si>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</si>
  <si>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</si>
  <si>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</si>
  <si>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</si>
  <si>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</si>
  <si>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</si>
  <si>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</si>
  <si>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</si>
  <si>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</si>
  <si>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</si>
  <si>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</si>
  <si>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</si>
  <si>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</si>
  <si>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</si>
  <si>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</si>
  <si>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</si>
  <si>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</si>
  <si>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</si>
  <si>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</si>
  <si>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</si>
  <si>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</si>
  <si>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</si>
  <si>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</si>
  <si>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</si>
  <si>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</si>
  <si>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</si>
  <si>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</si>
  <si>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</si>
  <si>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</si>
  <si>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</si>
  <si>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</si>
  <si>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</si>
  <si>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</si>
  <si>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</si>
  <si>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</si>
  <si>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</si>
  <si>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</si>
  <si>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</si>
  <si>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</si>
  <si>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</si>
  <si>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</si>
  <si>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</si>
  <si>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</si>
  <si>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</si>
  <si>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</si>
  <si>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</si>
  <si>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</si>
  <si>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</si>
  <si>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</si>
  <si>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</si>
  <si>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</si>
  <si>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</si>
  <si>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</si>
  <si>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</si>
  <si>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</si>
  <si>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</si>
  <si>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</si>
  <si>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</si>
  <si>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</si>
  <si>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</si>
  <si>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</si>
  <si>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</si>
  <si>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</si>
  <si>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</si>
  <si>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</si>
  <si>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</si>
  <si>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</si>
  <si>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</si>
  <si>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</si>
  <si>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</si>
  <si>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</si>
  <si>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</si>
  <si>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</si>
  <si>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</si>
  <si>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</si>
  <si>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</si>
  <si>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</si>
  <si>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</si>
  <si>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</si>
  <si>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</si>
  <si>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</si>
  <si>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</si>
  <si>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</si>
  <si>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</si>
  <si>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</si>
  <si>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</si>
  <si>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</si>
  <si>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</si>
  <si>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</si>
  <si>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</si>
  <si>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</si>
  <si>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</si>
  <si>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</si>
  <si>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</si>
  <si>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</si>
  <si>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</si>
  <si>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</si>
  <si>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</si>
  <si>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</si>
  <si>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</si>
  <si>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</si>
  <si>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</si>
  <si>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</si>
  <si>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</si>
  <si>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</si>
  <si>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</si>
  <si>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</si>
  <si>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</si>
  <si>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</si>
  <si>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</si>
  <si>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</si>
  <si>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</si>
  <si>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</si>
  <si>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</si>
  <si>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</si>
  <si>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</si>
  <si>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</si>
  <si>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</si>
  <si>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</si>
  <si>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</si>
  <si>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</si>
  <si>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</si>
  <si>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</si>
  <si>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</si>
  <si>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</si>
  <si>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</si>
  <si>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</si>
  <si>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</si>
  <si>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</si>
  <si>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</si>
  <si>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</si>
  <si>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</si>
  <si>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</si>
  <si>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</si>
  <si>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</si>
  <si>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</si>
  <si>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</si>
  <si>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</si>
  <si>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</si>
  <si>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</si>
  <si>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</si>
  <si>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</si>
  <si>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</si>
  <si>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</si>
  <si>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</si>
  <si>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</si>
  <si>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</si>
  <si>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</si>
  <si>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</si>
  <si>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</si>
  <si>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</si>
  <si>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</si>
  <si>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</si>
  <si>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</si>
  <si>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</si>
  <si>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</si>
  <si>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</si>
  <si>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</si>
  <si>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</si>
  <si>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</si>
  <si>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</si>
  <si>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</si>
  <si>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</si>
  <si>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</si>
  <si>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</si>
  <si>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</si>
  <si>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</si>
  <si>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</si>
  <si>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</si>
  <si>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</si>
  <si>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</si>
  <si>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</si>
  <si>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</si>
  <si>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</si>
  <si>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</si>
  <si>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</si>
  <si>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</si>
  <si>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</si>
  <si>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</si>
  <si>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</si>
  <si>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</si>
  <si>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</si>
  <si>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</si>
  <si>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</si>
  <si>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</si>
  <si>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</si>
  <si>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</si>
  <si>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</si>
  <si>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</si>
  <si>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</si>
  <si>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</si>
  <si>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</si>
  <si>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</si>
  <si>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</si>
  <si>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</si>
  <si>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</si>
  <si>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</si>
  <si>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</si>
  <si>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</si>
  <si>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</si>
  <si>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</si>
  <si>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</si>
  <si>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</si>
  <si>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</si>
  <si>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</si>
  <si>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</si>
  <si>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</si>
  <si>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</si>
  <si>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</si>
  <si>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</si>
  <si>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</si>
  <si>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</si>
  <si>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</si>
  <si>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</si>
  <si>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</si>
  <si>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</si>
  <si>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</si>
  <si>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</si>
  <si>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</si>
  <si>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</si>
  <si>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</si>
  <si>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</si>
  <si>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</si>
  <si>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</si>
  <si>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</si>
  <si>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</si>
  <si>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</si>
  <si>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</si>
  <si>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</si>
  <si>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</si>
  <si>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</si>
  <si>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</si>
  <si>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</si>
  <si>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</si>
  <si>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</si>
  <si>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</si>
  <si>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</si>
  <si>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</si>
  <si>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</si>
  <si>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</si>
  <si>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</si>
  <si>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</si>
  <si>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</si>
  <si>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</si>
  <si>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</si>
  <si>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</si>
  <si>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</si>
  <si>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</si>
  <si>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</si>
  <si>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</si>
  <si>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</si>
  <si>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</si>
  <si>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</si>
  <si>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</si>
  <si>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</si>
  <si>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</si>
  <si>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</si>
  <si>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</si>
  <si>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</si>
  <si>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</si>
  <si>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</si>
  <si>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</si>
  <si>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</si>
  <si>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</si>
  <si>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</si>
  <si>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</si>
  <si>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</si>
  <si>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</si>
  <si>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</si>
  <si>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</si>
  <si>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</si>
  <si>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</si>
  <si>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</si>
  <si>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</si>
  <si>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</si>
  <si>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</si>
  <si>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</si>
  <si>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</si>
  <si>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</si>
  <si>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</si>
  <si>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</si>
  <si>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</si>
  <si>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</si>
  <si>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</si>
  <si>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</si>
  <si>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</si>
  <si>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</si>
  <si>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</si>
  <si>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</si>
  <si>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</si>
  <si>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</si>
  <si>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</si>
  <si>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</si>
  <si>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</si>
  <si>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</si>
  <si>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</si>
  <si>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</si>
  <si>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</si>
  <si>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</si>
  <si>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</si>
  <si>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</si>
  <si>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</si>
  <si>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</si>
  <si>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</si>
  <si>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</si>
  <si>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</si>
  <si>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</si>
  <si>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</si>
  <si>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</si>
  <si>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</si>
  <si>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</si>
  <si>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</si>
  <si>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</si>
  <si>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</si>
  <si>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</si>
  <si>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</si>
  <si>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</si>
  <si>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</si>
  <si>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</si>
  <si>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</si>
  <si>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</si>
  <si>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</si>
  <si>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</si>
  <si>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</si>
  <si>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</si>
  <si>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</si>
  <si>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</si>
  <si>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</si>
  <si>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</si>
  <si>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</si>
  <si>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</si>
  <si>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</si>
  <si>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</si>
  <si>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</si>
  <si>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</si>
  <si>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</si>
  <si>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</si>
  <si>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</si>
  <si>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</si>
  <si>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</si>
  <si>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</si>
  <si>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</si>
  <si>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</si>
  <si>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</si>
  <si>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</si>
  <si>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</si>
  <si>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</si>
  <si>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</si>
  <si>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</si>
  <si>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</si>
  <si>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</si>
  <si>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</si>
  <si>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</si>
  <si>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</si>
  <si>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</si>
  <si>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</si>
  <si>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</si>
  <si>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</si>
  <si>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</si>
  <si>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</si>
  <si>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</si>
  <si>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</si>
  <si>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</si>
  <si>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</si>
  <si>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</si>
  <si>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</si>
  <si>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</si>
  <si>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</si>
  <si>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</si>
  <si>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</si>
  <si>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</si>
  <si>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</si>
  <si>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</si>
  <si>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</si>
  <si>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</si>
  <si>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</si>
  <si>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</si>
  <si>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</si>
  <si>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</si>
  <si>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</si>
  <si>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</si>
  <si>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</si>
  <si>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</si>
  <si>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</si>
  <si>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</si>
  <si>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</si>
  <si>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</si>
  <si>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</si>
  <si>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</si>
  <si>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</si>
  <si>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</si>
  <si>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</si>
  <si>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</si>
  <si>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</si>
  <si>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</si>
  <si>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</si>
  <si>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</si>
  <si>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</si>
  <si>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</si>
  <si>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</si>
  <si>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</si>
  <si>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</si>
  <si>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</si>
  <si>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</si>
  <si>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</si>
  <si>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</si>
  <si>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</si>
  <si>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</si>
  <si>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</si>
  <si>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</si>
  <si>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</si>
  <si>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</si>
  <si>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</si>
  <si>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</si>
  <si>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</si>
  <si>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</si>
  <si>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</si>
  <si>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</si>
  <si>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</si>
  <si>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</si>
  <si>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</si>
  <si>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</si>
  <si>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</si>
  <si>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</si>
  <si>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</si>
  <si>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</si>
  <si>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</si>
  <si>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</si>
  <si>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</si>
  <si>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</si>
  <si>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</si>
  <si>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</si>
  <si>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</si>
  <si>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</si>
  <si>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</si>
  <si>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</si>
  <si>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</si>
  <si>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</si>
  <si>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</si>
  <si>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</si>
  <si>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</si>
  <si>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</si>
  <si>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</si>
  <si>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</si>
  <si>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</si>
  <si>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</si>
  <si>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</si>
  <si>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</si>
  <si>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</si>
  <si>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</si>
  <si>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</si>
  <si>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</si>
  <si>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</si>
  <si>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</si>
  <si>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</si>
  <si>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</si>
  <si>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</si>
  <si>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</si>
  <si>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</si>
  <si>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</si>
  <si>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</si>
  <si>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</si>
  <si>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</si>
  <si>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</si>
  <si>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</si>
  <si>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</si>
  <si>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</si>
  <si>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</si>
  <si>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</si>
  <si>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</si>
  <si>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</si>
  <si>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</si>
  <si>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</si>
  <si>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</si>
  <si>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</si>
  <si>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</si>
  <si>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</si>
  <si>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</si>
  <si>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</si>
  <si>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</si>
  <si>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</si>
  <si>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</si>
  <si>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</si>
  <si>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</si>
  <si>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</si>
  <si>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</si>
  <si>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</si>
  <si>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</si>
  <si>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</si>
  <si>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</si>
  <si>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</si>
  <si>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</si>
  <si>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</si>
  <si>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</si>
  <si>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</si>
  <si>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</si>
  <si>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</si>
  <si>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</si>
  <si>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</si>
  <si>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</si>
  <si>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</si>
  <si>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</si>
  <si>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</si>
  <si>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</si>
  <si>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</si>
  <si>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</si>
  <si>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</si>
  <si>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</si>
  <si>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</si>
  <si>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</si>
  <si>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</si>
  <si>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</si>
  <si>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</si>
  <si>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</si>
  <si>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</si>
  <si>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</si>
  <si>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</si>
  <si>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</si>
  <si>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</si>
  <si>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</si>
  <si>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</si>
  <si>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</si>
  <si>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</si>
  <si>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</si>
  <si>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</si>
  <si>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</si>
  <si>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</si>
  <si>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</si>
  <si>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</si>
  <si>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</si>
  <si>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</si>
  <si>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</si>
  <si>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</si>
  <si>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</si>
  <si>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</si>
  <si>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</si>
  <si>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</si>
  <si>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</si>
  <si>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</si>
  <si>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</si>
  <si>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</si>
  <si>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</si>
  <si>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</si>
  <si>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</si>
  <si>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</si>
  <si>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</si>
  <si>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</si>
  <si>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</si>
  <si>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</si>
  <si>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</si>
  <si>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</si>
  <si>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</si>
  <si>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</si>
  <si>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</si>
  <si>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</si>
  <si>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</si>
  <si>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</si>
  <si>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</si>
  <si>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</si>
  <si>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</si>
  <si>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</si>
  <si>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</si>
  <si>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</si>
  <si>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</si>
  <si>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</si>
  <si>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</si>
  <si>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</si>
  <si>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</si>
  <si>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</si>
  <si>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</si>
  <si>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</si>
  <si>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</si>
  <si>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</si>
  <si>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</si>
  <si>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</si>
  <si>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</si>
  <si>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</si>
  <si>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</si>
  <si>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</si>
  <si>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</si>
  <si>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</si>
  <si>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</si>
  <si>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</si>
  <si>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</si>
  <si>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</si>
  <si>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</si>
  <si>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</si>
  <si>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</si>
  <si>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</si>
  <si>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</si>
  <si>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</si>
  <si>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</si>
  <si>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</si>
  <si>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</si>
  <si>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</si>
  <si>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</si>
  <si>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</si>
  <si>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</si>
  <si>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</si>
  <si>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</si>
  <si>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</si>
  <si>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</si>
  <si>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</si>
  <si>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</si>
  <si>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</si>
  <si>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</si>
  <si>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</si>
  <si>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</si>
  <si>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</si>
  <si>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</si>
  <si>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</si>
  <si>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</si>
  <si>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</si>
  <si>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</si>
  <si>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</si>
  <si>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</si>
  <si>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</si>
  <si>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</si>
  <si>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</si>
  <si>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</si>
  <si>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</si>
  <si>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</si>
  <si>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</si>
  <si>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</si>
  <si>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</si>
  <si>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</si>
  <si>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</si>
  <si>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</si>
  <si>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</si>
  <si>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</si>
  <si>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</si>
  <si>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</si>
  <si>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</si>
  <si>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</si>
  <si>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</si>
  <si>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</si>
  <si>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</si>
  <si>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</si>
  <si>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</si>
  <si>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</si>
  <si>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</si>
  <si>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</si>
  <si>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</si>
  <si>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</si>
  <si>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</si>
  <si>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</si>
  <si>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</si>
  <si>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</si>
  <si>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</si>
  <si>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</si>
  <si>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</si>
  <si>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</si>
  <si>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</si>
  <si>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</si>
  <si>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</si>
  <si>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</si>
  <si>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</si>
  <si>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</si>
  <si>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</si>
  <si>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</si>
  <si>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</si>
  <si>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</si>
  <si>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</si>
  <si>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</si>
  <si>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</si>
  <si>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</si>
  <si>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</si>
  <si>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</si>
  <si>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</si>
  <si>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</si>
  <si>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</si>
  <si>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</si>
  <si>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</si>
  <si>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</si>
  <si>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</si>
  <si>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</si>
  <si>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</si>
  <si>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</si>
  <si>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</si>
  <si>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</si>
  <si>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</si>
  <si>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</si>
  <si>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</si>
  <si>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</si>
  <si>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</si>
  <si>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</si>
  <si>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</si>
  <si>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</si>
  <si>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</si>
  <si>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</si>
  <si>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</si>
  <si>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</si>
  <si>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</si>
  <si>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</si>
  <si>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</si>
  <si>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</si>
  <si>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</si>
  <si>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</si>
  <si>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</si>
  <si>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</si>
  <si>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</si>
  <si>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</si>
  <si>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</si>
  <si>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</si>
  <si>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</si>
  <si>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</si>
  <si>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</si>
  <si>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</si>
  <si>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</si>
  <si>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</si>
  <si>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</si>
  <si>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</si>
  <si>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</si>
  <si>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</si>
  <si>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</si>
  <si>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</si>
  <si>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</si>
  <si>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</si>
  <si>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</si>
  <si>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</si>
  <si>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</si>
  <si>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</si>
  <si>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</si>
  <si>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</si>
  <si>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</si>
  <si>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</si>
  <si>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</si>
  <si>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</si>
  <si>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</si>
  <si>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</si>
  <si>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</si>
  <si>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</si>
  <si>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</si>
  <si>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</si>
  <si>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</si>
  <si>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</si>
  <si>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</si>
  <si>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</si>
  <si>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</si>
  <si>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</si>
  <si>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</si>
  <si>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</si>
  <si>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</si>
  <si>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</si>
  <si>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</si>
  <si>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</si>
  <si>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</si>
  <si>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</si>
  <si>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</si>
  <si>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</si>
  <si>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</si>
  <si>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</si>
  <si>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</si>
  <si>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</si>
  <si>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</si>
  <si>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</si>
  <si>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</si>
  <si>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</si>
  <si>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</si>
  <si>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</si>
  <si>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</si>
  <si>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</si>
  <si>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</si>
  <si>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</si>
  <si>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</si>
  <si>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</si>
  <si>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</si>
  <si>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</si>
  <si>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</si>
  <si>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</si>
  <si>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</si>
  <si>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</si>
  <si>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</si>
  <si>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</si>
  <si>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</si>
  <si>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</si>
  <si>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</si>
  <si>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</si>
  <si>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</si>
  <si>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</si>
  <si>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</si>
  <si>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</si>
  <si>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</si>
  <si>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</si>
  <si>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</si>
  <si>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</si>
  <si>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</si>
  <si>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</si>
  <si>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</si>
  <si>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</si>
  <si>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</si>
  <si>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</si>
  <si>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</si>
  <si>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</si>
  <si>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</si>
  <si>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</si>
  <si>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</si>
  <si>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</si>
  <si>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</si>
  <si>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</si>
  <si>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</si>
  <si>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</si>
  <si>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</si>
  <si>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</si>
  <si>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</si>
  <si>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</si>
  <si>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</si>
  <si>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</si>
  <si>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</si>
  <si>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</si>
  <si>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</si>
  <si>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</si>
  <si>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</si>
  <si>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</si>
  <si>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</si>
  <si>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</si>
  <si>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</si>
  <si>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</si>
  <si>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</si>
  <si>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</si>
  <si>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</si>
  <si>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</si>
  <si>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</si>
  <si>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</si>
  <si>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</si>
  <si>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</si>
  <si>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</si>
  <si>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</si>
  <si>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</si>
  <si>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</si>
  <si>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</si>
  <si>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</si>
  <si>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</si>
  <si>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</si>
  <si>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</si>
  <si>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</si>
  <si>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</si>
  <si>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</si>
  <si>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</si>
  <si>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</si>
  <si>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</si>
  <si>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</si>
  <si>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</si>
  <si>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</si>
  <si>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</si>
  <si>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</si>
  <si>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</si>
  <si>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</si>
  <si>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</si>
  <si>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</si>
  <si>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</si>
  <si>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</si>
  <si>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</si>
  <si>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</si>
  <si>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</si>
  <si>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</si>
  <si>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</si>
  <si>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</si>
  <si>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</si>
  <si>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</si>
  <si>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</si>
  <si>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</si>
  <si>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</si>
  <si>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</si>
  <si>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</si>
  <si>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</si>
  <si>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</si>
  <si>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</si>
  <si>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</si>
  <si>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</si>
  <si>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</si>
  <si>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</si>
  <si>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</si>
  <si>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</si>
  <si>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</si>
  <si>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</si>
  <si>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</si>
  <si>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</si>
  <si>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</si>
  <si>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</si>
  <si>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</si>
  <si>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</si>
  <si>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</si>
  <si>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</si>
  <si>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</si>
  <si>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</si>
  <si>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</si>
  <si>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</si>
  <si>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</si>
  <si>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</si>
  <si>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</si>
  <si>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</si>
  <si>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</si>
  <si>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</si>
  <si>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</si>
  <si>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</si>
  <si>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</si>
  <si>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</si>
  <si>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</si>
  <si>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</si>
  <si>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</si>
  <si>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</si>
  <si>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</si>
  <si>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</si>
  <si>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</si>
  <si>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</si>
  <si>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</si>
  <si>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</si>
  <si>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</si>
  <si>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</si>
  <si>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</si>
  <si>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</si>
  <si>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</si>
  <si>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</si>
  <si>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</si>
  <si>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</si>
  <si>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</si>
  <si>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</si>
  <si>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</si>
  <si>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</si>
  <si>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</si>
  <si>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</si>
  <si>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</si>
  <si>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</si>
  <si>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</si>
  <si>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</si>
  <si>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</si>
  <si>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</si>
  <si>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</si>
  <si>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</si>
  <si>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</si>
  <si>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</si>
  <si>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</si>
  <si>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</si>
  <si>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</si>
  <si>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</si>
  <si>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</si>
  <si>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</si>
  <si>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</si>
  <si>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</si>
  <si>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</si>
  <si>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</si>
  <si>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</si>
  <si>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</si>
  <si>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</si>
  <si>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</si>
  <si>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</si>
  <si>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</si>
  <si>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</si>
  <si>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</si>
  <si>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</si>
  <si>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</si>
  <si>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</si>
  <si>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</si>
  <si>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</si>
  <si>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</si>
  <si>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</si>
  <si>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</si>
  <si>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</si>
  <si>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</si>
  <si>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</si>
  <si>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</si>
  <si>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</si>
  <si>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</si>
  <si>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</si>
  <si>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</si>
  <si>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</si>
  <si>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</si>
  <si>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</si>
  <si>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</si>
  <si>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</si>
  <si>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</si>
  <si>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</si>
  <si>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</si>
  <si>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</si>
  <si>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</si>
  <si>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</si>
  <si>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</si>
  <si>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</si>
  <si>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</si>
  <si>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</si>
  <si>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</si>
  <si>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</si>
  <si>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</si>
  <si>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</si>
  <si>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</si>
  <si>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</si>
  <si>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</si>
  <si>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</si>
  <si>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</si>
  <si>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</si>
  <si>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</si>
  <si>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</si>
  <si>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</si>
  <si>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</si>
  <si>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</si>
  <si>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</si>
  <si>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</si>
  <si>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</si>
  <si>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</si>
  <si>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</si>
  <si>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</si>
  <si>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</si>
  <si>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</si>
  <si>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</si>
  <si>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</si>
  <si>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</si>
  <si>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</si>
  <si>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</si>
  <si>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</si>
  <si>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</si>
  <si>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</si>
  <si>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</si>
  <si>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</si>
  <si>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</si>
  <si>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</si>
  <si>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</si>
  <si>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</si>
  <si>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</si>
  <si>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</si>
  <si>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</si>
  <si>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</si>
  <si>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</si>
  <si>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</si>
  <si>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</si>
  <si>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</si>
  <si>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</si>
  <si>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</si>
  <si>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</si>
  <si>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</si>
  <si>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</si>
  <si>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</si>
  <si>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</si>
  <si>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</si>
  <si>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</si>
  <si>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</si>
  <si>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</si>
  <si>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</si>
  <si>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</si>
  <si>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</si>
  <si>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</si>
  <si>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</si>
  <si>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</si>
  <si>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</si>
  <si>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</si>
  <si>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</si>
  <si>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</si>
  <si>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</si>
  <si>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</si>
  <si>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</si>
  <si>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</si>
  <si>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</si>
  <si>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</si>
  <si>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</si>
  <si>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</si>
  <si>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</si>
  <si>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</si>
  <si>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</si>
  <si>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</si>
  <si>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</si>
  <si>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</si>
  <si>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</si>
  <si>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</si>
  <si>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</si>
  <si>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</si>
  <si>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</si>
  <si>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</si>
  <si>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</si>
  <si>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</si>
  <si>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</si>
  <si>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</si>
  <si>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</si>
  <si>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</si>
  <si>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</si>
  <si>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</si>
  <si>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</si>
  <si>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</si>
  <si>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</si>
  <si>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</si>
  <si>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</si>
  <si>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</si>
  <si>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</si>
  <si>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</si>
  <si>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</si>
  <si>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</si>
  <si>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</si>
  <si>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</si>
  <si>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</si>
  <si>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</si>
  <si>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</si>
  <si>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</si>
  <si>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</si>
  <si>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</si>
  <si>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</si>
  <si>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</si>
  <si>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</si>
  <si>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</si>
  <si>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</si>
  <si>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</si>
  <si>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</si>
  <si>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</si>
  <si>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</si>
  <si>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</si>
  <si>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</si>
  <si>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</si>
  <si>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</si>
  <si>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</si>
  <si>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</si>
  <si>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</si>
  <si>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</si>
  <si>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</si>
  <si>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</si>
  <si>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</si>
  <si>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</si>
  <si>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</si>
  <si>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</si>
  <si>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</si>
  <si>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</si>
  <si>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</si>
  <si>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</si>
  <si>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</si>
  <si>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</si>
  <si>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</si>
  <si>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</si>
  <si>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</si>
  <si>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</si>
  <si>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</si>
  <si>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</si>
  <si>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</si>
  <si>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</si>
  <si>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</si>
  <si>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</si>
  <si>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</si>
  <si>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</si>
  <si>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</si>
  <si>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</si>
  <si>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</si>
  <si>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</si>
  <si>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</si>
  <si>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</si>
  <si>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</si>
  <si>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</si>
  <si>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</si>
  <si>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</si>
  <si>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</si>
  <si>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</si>
  <si>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</si>
  <si>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</si>
  <si>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</si>
  <si>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</si>
  <si>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</si>
  <si>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</si>
  <si>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</si>
  <si>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</si>
  <si>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</si>
  <si>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</si>
  <si>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</si>
  <si>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</si>
  <si>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</si>
  <si>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</si>
  <si>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</si>
  <si>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</si>
  <si>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</si>
  <si>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</si>
  <si>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</si>
  <si>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</si>
  <si>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</si>
  <si>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</si>
  <si>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</si>
  <si>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</si>
  <si>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</si>
  <si>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</si>
  <si>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</si>
  <si>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</si>
  <si>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</si>
  <si>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</si>
  <si>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</si>
  <si>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</si>
  <si>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</si>
  <si>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</si>
  <si>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</si>
  <si>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</si>
  <si>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</si>
  <si>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</si>
  <si>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</si>
  <si>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</si>
  <si>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</si>
  <si>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</si>
  <si>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</si>
  <si>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</si>
  <si>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</si>
  <si>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</si>
  <si>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</si>
  <si>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</si>
  <si>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</si>
  <si>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</si>
  <si>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</si>
  <si>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</si>
  <si>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</si>
  <si>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</si>
  <si>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</si>
  <si>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</si>
  <si>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</si>
  <si>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</si>
  <si>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</si>
  <si>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</si>
  <si>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</si>
  <si>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</si>
  <si>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</si>
  <si>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</si>
  <si>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</si>
  <si>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</si>
  <si>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</si>
  <si>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</si>
  <si>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</si>
  <si>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</si>
  <si>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</si>
  <si>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</si>
  <si>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</si>
  <si>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</si>
  <si>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</si>
  <si>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</si>
  <si>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</si>
  <si>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</si>
  <si>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</si>
  <si>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</si>
  <si>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</si>
  <si>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</si>
  <si>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</si>
  <si>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</si>
  <si>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</si>
  <si>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</si>
  <si>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</si>
  <si>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</si>
  <si>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</si>
  <si>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</si>
  <si>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</si>
  <si>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</si>
  <si>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</si>
  <si>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</si>
  <si>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</si>
  <si>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</si>
  <si>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</si>
  <si>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</si>
  <si>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</si>
  <si>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</si>
  <si>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</si>
  <si>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</si>
  <si>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</si>
  <si>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</si>
  <si>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</si>
  <si>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</si>
  <si>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</si>
  <si>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</si>
  <si>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</si>
  <si>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</si>
  <si>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</si>
  <si>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</si>
  <si>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</si>
  <si>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</si>
  <si>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</si>
  <si>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</si>
  <si>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</si>
  <si>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</si>
  <si>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</si>
  <si>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</si>
  <si>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</si>
  <si>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</si>
  <si>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</si>
  <si>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</si>
  <si>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</si>
  <si>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</si>
  <si>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</si>
  <si>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</si>
  <si>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</si>
  <si>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</si>
  <si>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</si>
  <si>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</si>
  <si>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</si>
  <si>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</si>
  <si>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</si>
  <si>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</si>
  <si>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</si>
  <si>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</si>
  <si>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</si>
  <si>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</si>
  <si>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</si>
  <si>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</si>
  <si>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</si>
  <si>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</si>
  <si>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</si>
  <si>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</si>
  <si>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</si>
  <si>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</si>
  <si>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</si>
  <si>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</si>
  <si>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</si>
  <si>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</si>
  <si>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</si>
  <si>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</si>
  <si>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</si>
  <si>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</si>
  <si>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</si>
  <si>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</si>
  <si>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</si>
  <si>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</si>
  <si>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</si>
  <si>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</si>
  <si>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</si>
  <si>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</si>
  <si>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</si>
  <si>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</si>
  <si>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</si>
  <si>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</si>
  <si>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</si>
  <si>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</si>
  <si>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</si>
  <si>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</si>
  <si>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</si>
  <si>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</si>
  <si>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</si>
  <si>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</si>
  <si>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</si>
  <si>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</si>
  <si>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</si>
  <si>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</si>
  <si>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</si>
  <si>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</si>
  <si>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</si>
  <si>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</si>
  <si>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</si>
  <si>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</si>
  <si>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</si>
  <si>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</si>
  <si>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</si>
  <si>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</si>
  <si>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</si>
  <si>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</si>
  <si>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</si>
  <si>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</si>
  <si>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</si>
  <si>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</si>
  <si>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</si>
  <si>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</si>
  <si>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</si>
  <si>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</si>
  <si>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</si>
  <si>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</si>
  <si>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</si>
  <si>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</si>
  <si>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</si>
  <si>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</si>
  <si>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</si>
  <si>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</si>
  <si>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</si>
  <si>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</si>
  <si>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</si>
  <si>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</si>
  <si>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</si>
  <si>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</si>
  <si>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</si>
  <si>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</si>
  <si>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</si>
  <si>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</si>
  <si>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</si>
  <si>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</si>
  <si>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</si>
  <si>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</si>
  <si>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</si>
  <si>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</si>
  <si>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</si>
  <si>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</si>
  <si>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</si>
  <si>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</si>
  <si>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</si>
  <si>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</si>
  <si>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</si>
  <si>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</si>
  <si>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</si>
  <si>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</si>
  <si>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</si>
  <si>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</si>
  <si>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</si>
  <si>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</si>
  <si>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</si>
  <si>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</si>
  <si>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</si>
  <si>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</si>
  <si>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</si>
  <si>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</si>
  <si>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</si>
  <si>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</si>
  <si>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</si>
  <si>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</si>
  <si>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</si>
  <si>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</si>
  <si>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</si>
  <si>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</si>
  <si>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</si>
  <si>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</si>
  <si>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</si>
  <si>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</si>
  <si>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</si>
  <si>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</si>
  <si>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</si>
  <si>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</si>
  <si>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</si>
  <si>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</si>
  <si>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</si>
  <si>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</si>
  <si>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</si>
  <si>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</si>
  <si>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</si>
  <si>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</si>
  <si>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</si>
  <si>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</si>
  <si>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</si>
  <si>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</si>
  <si>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</si>
  <si>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</si>
  <si>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</si>
  <si>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</si>
  <si>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</si>
  <si>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</si>
  <si>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</si>
  <si>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</si>
  <si>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</si>
  <si>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</si>
  <si>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</si>
  <si>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</si>
  <si>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</si>
  <si>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</si>
  <si>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</si>
  <si>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</si>
  <si>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</si>
  <si>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</si>
  <si>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</si>
  <si>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</si>
  <si>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</si>
  <si>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</si>
  <si>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</si>
  <si>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</si>
  <si>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</si>
  <si>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</si>
  <si>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</si>
  <si>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</si>
  <si>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</si>
  <si>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</si>
  <si>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</si>
  <si>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</si>
  <si>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</si>
  <si>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</si>
  <si>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</si>
  <si>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</si>
  <si>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</si>
  <si>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</si>
  <si>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</si>
  <si>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</si>
  <si>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</si>
  <si>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</si>
  <si>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</si>
  <si>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</si>
  <si>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</si>
  <si>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</si>
  <si>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</si>
  <si>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</si>
  <si>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</si>
  <si>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</si>
  <si>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</si>
  <si>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</si>
  <si>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</si>
  <si>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</si>
  <si>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</si>
  <si>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</si>
  <si>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</si>
  <si>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</si>
  <si>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</si>
  <si>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</si>
  <si>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</si>
  <si>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</si>
  <si>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</si>
  <si>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</si>
  <si>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</si>
  <si>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</si>
  <si>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</si>
  <si>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</si>
  <si>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</si>
  <si>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</si>
  <si>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</si>
  <si>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</si>
  <si>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</si>
  <si>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</si>
  <si>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</si>
  <si>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</si>
  <si>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</si>
  <si>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</si>
  <si>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</si>
  <si>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</si>
  <si>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</si>
  <si>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</si>
  <si>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</si>
  <si>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</si>
  <si>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</si>
  <si>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</si>
  <si>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</si>
  <si>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</si>
  <si>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</si>
  <si>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</si>
  <si>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</si>
  <si>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</si>
  <si>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</si>
  <si>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</si>
  <si>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</si>
  <si>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</si>
  <si>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</si>
  <si>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</si>
  <si>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</si>
  <si>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</si>
  <si>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</si>
  <si>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</si>
  <si>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</si>
  <si>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</si>
  <si>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</si>
  <si>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</si>
  <si>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</si>
  <si>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</si>
  <si>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</si>
  <si>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</si>
  <si>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</si>
  <si>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</si>
  <si>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</si>
  <si>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</si>
  <si>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</si>
  <si>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</si>
  <si>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</si>
  <si>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</si>
  <si>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</si>
  <si>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</si>
  <si>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</si>
  <si>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</si>
  <si>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</si>
  <si>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</si>
  <si>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</si>
  <si>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</si>
  <si>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</si>
  <si>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</si>
  <si>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</si>
  <si>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</si>
  <si>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</si>
  <si>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</si>
  <si>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</si>
  <si>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</si>
  <si>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</si>
  <si>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</si>
  <si>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</si>
  <si>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</si>
  <si>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</si>
  <si>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</si>
  <si>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</si>
  <si>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</si>
  <si>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</si>
  <si>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</si>
  <si>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</si>
  <si>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</si>
  <si>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</si>
  <si>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</si>
  <si>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</si>
  <si>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</si>
  <si>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</si>
  <si>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</si>
  <si>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</si>
  <si>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</si>
  <si>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</si>
  <si>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</si>
  <si>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</si>
  <si>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</si>
  <si>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</si>
  <si>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</si>
  <si>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</si>
  <si>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</si>
  <si>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</si>
  <si>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</si>
  <si>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</si>
  <si>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</si>
  <si>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</si>
  <si>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</si>
  <si>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</si>
  <si>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</si>
  <si>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</si>
  <si>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</si>
  <si>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</si>
  <si>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</si>
  <si>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</si>
  <si>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</si>
  <si>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</si>
  <si>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</si>
  <si>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</si>
  <si>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</si>
  <si>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</si>
  <si>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</si>
  <si>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</si>
  <si>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</si>
  <si>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</si>
  <si>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</si>
  <si>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</si>
  <si>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</si>
  <si>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</si>
  <si>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</si>
  <si>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</si>
  <si>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</si>
  <si>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</si>
  <si>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</si>
  <si>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</si>
  <si>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</si>
  <si>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</si>
  <si>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</si>
  <si>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</si>
  <si>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</si>
  <si>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</si>
  <si>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</si>
  <si>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</si>
  <si>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</si>
  <si>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</si>
  <si>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</si>
  <si>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</si>
  <si>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</si>
  <si>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</si>
  <si>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</si>
  <si>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</si>
  <si>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</si>
  <si>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</si>
  <si>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</si>
  <si>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</si>
  <si>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</si>
  <si>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</si>
  <si>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</si>
  <si>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</si>
  <si>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</si>
  <si>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</si>
  <si>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</si>
  <si>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</si>
  <si>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</si>
  <si>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</si>
  <si>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</si>
  <si>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</si>
  <si>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</si>
  <si>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</si>
  <si>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</si>
  <si>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</si>
  <si>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</si>
  <si>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</si>
  <si>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</si>
  <si>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</si>
  <si>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</si>
  <si>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</si>
  <si>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</si>
  <si>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</si>
  <si>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</si>
  <si>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</si>
  <si>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</si>
  <si>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</si>
  <si>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</si>
  <si>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</si>
  <si>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</si>
  <si>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</si>
  <si>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</si>
  <si>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</si>
  <si>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</si>
  <si>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</si>
  <si>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</si>
  <si>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</si>
  <si>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</si>
  <si>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</si>
  <si>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</si>
  <si>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</si>
  <si>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</si>
  <si>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</si>
  <si>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</si>
  <si>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</si>
  <si>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</si>
  <si>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</si>
  <si>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</si>
  <si>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</si>
  <si>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</si>
  <si>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</si>
  <si>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</si>
  <si>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</si>
  <si>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</si>
  <si>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</si>
  <si>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</si>
  <si>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</si>
  <si>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</si>
  <si>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</si>
  <si>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</si>
  <si>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</si>
  <si>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</si>
  <si>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</si>
  <si>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</si>
  <si>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</si>
  <si>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</si>
  <si>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</si>
  <si>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</si>
  <si>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</si>
  <si>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</si>
  <si>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</si>
  <si>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</si>
  <si>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</si>
  <si>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</si>
  <si>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</si>
  <si>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</si>
  <si>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</si>
  <si>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</si>
  <si>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</si>
  <si>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</si>
  <si>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</si>
  <si>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</si>
  <si>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</si>
  <si>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</si>
  <si>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</si>
  <si>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</si>
  <si>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</si>
  <si>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</si>
  <si>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</si>
  <si>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</si>
  <si>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</si>
  <si>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</si>
  <si>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</si>
  <si>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</si>
  <si>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</si>
  <si>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</si>
  <si>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</si>
  <si>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</si>
  <si>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</si>
  <si>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</si>
  <si>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</si>
  <si>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</si>
  <si>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</si>
  <si>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</si>
  <si>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</si>
  <si>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</si>
  <si>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</si>
  <si>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</si>
  <si>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</si>
  <si>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</si>
  <si>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</si>
  <si>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</si>
  <si>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</si>
  <si>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</si>
  <si>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</si>
  <si>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</si>
  <si>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</si>
  <si>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</si>
  <si>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</si>
  <si>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</si>
  <si>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</si>
  <si>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</si>
  <si>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</si>
  <si>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</si>
  <si>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</si>
  <si>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</si>
  <si>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</si>
  <si>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</si>
  <si>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</si>
  <si>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</si>
  <si>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</si>
  <si>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</si>
  <si>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</si>
  <si>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</si>
  <si>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</si>
  <si>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</si>
  <si>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</si>
  <si>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</si>
  <si>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</si>
  <si>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</si>
  <si>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</si>
  <si>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</si>
  <si>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</si>
  <si>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</si>
  <si>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</si>
  <si>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</si>
  <si>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</si>
  <si>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</si>
  <si>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</si>
  <si>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</si>
  <si>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</si>
  <si>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</si>
  <si>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</si>
  <si>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</si>
  <si>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</si>
  <si>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</si>
  <si>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</si>
  <si>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</si>
  <si>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</si>
  <si>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</si>
  <si>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</si>
  <si>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</si>
  <si>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</si>
  <si>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</si>
  <si>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</si>
  <si>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</si>
  <si>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</si>
  <si>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</si>
  <si>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</si>
  <si>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</si>
  <si>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</si>
  <si>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</si>
  <si>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</si>
  <si>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</si>
  <si>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</si>
  <si>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</si>
  <si>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</si>
  <si>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</si>
  <si>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</si>
  <si>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</si>
  <si>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</si>
  <si>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</si>
  <si>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</si>
  <si>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</si>
  <si>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</si>
  <si>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</si>
  <si>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</si>
  <si>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</si>
  <si>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</si>
  <si>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</si>
  <si>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</si>
  <si>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</si>
  <si>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</si>
  <si>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</si>
  <si>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</si>
  <si>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</si>
  <si>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</si>
  <si>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</si>
  <si>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</si>
  <si>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</si>
  <si>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</si>
  <si>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</si>
  <si>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</si>
  <si>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</si>
  <si>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</si>
  <si>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</si>
  <si>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</si>
  <si>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</si>
  <si>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</si>
  <si>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</si>
  <si>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</si>
  <si>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</si>
  <si>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</si>
  <si>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</si>
  <si>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</si>
  <si>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</si>
  <si>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</si>
  <si>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</si>
  <si>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</si>
  <si>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</si>
  <si>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</si>
  <si>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</si>
  <si>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</si>
  <si>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</si>
  <si>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</si>
  <si>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</si>
  <si>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</si>
  <si>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</si>
  <si>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</si>
  <si>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</si>
  <si>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</si>
  <si>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</si>
  <si>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</si>
  <si>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</si>
  <si>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</si>
  <si>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</si>
  <si>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</si>
  <si>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</si>
  <si>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</si>
  <si>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</si>
  <si>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</si>
  <si>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</si>
  <si>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</si>
  <si>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</si>
  <si>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</si>
  <si>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</si>
  <si>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</si>
  <si>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</si>
  <si>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</si>
  <si>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</si>
  <si>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</si>
  <si>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</si>
  <si>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</si>
  <si>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</si>
  <si>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</si>
  <si>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</si>
  <si>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</si>
  <si>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</si>
  <si>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</si>
  <si>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</si>
  <si>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</si>
  <si>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</si>
  <si>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</si>
  <si>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</si>
  <si>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</si>
  <si>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</si>
  <si>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</si>
  <si>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</si>
  <si>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</si>
  <si>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</si>
  <si>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</si>
  <si>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</si>
  <si>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</si>
  <si>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</si>
  <si>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</si>
  <si>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</si>
  <si>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</si>
  <si>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</si>
  <si>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</si>
  <si>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</si>
  <si>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</si>
  <si>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</si>
  <si>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</si>
  <si>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</si>
  <si>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</si>
  <si>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</si>
  <si>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</si>
  <si>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</si>
  <si>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</si>
  <si>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</si>
  <si>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</si>
  <si>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</si>
  <si>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</si>
  <si>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</si>
  <si>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</si>
  <si>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</si>
  <si>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</si>
  <si>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</si>
  <si>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</si>
  <si>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</si>
  <si>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</si>
  <si>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</si>
  <si>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</si>
  <si>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</si>
  <si>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</si>
  <si>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</si>
  <si>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</si>
  <si>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</si>
  <si>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</si>
  <si>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</si>
  <si>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</si>
  <si>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</si>
  <si>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</si>
  <si>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</si>
  <si>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</si>
  <si>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</si>
  <si>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</si>
  <si>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</si>
  <si>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</si>
  <si>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</si>
  <si>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</si>
  <si>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</si>
  <si>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</si>
  <si>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</si>
  <si>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</si>
  <si>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</si>
  <si>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</si>
  <si>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</si>
  <si>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</si>
  <si>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</si>
  <si>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</si>
  <si>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</si>
  <si>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</si>
  <si>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</si>
  <si>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</si>
  <si>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</si>
  <si>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</si>
  <si>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</si>
  <si>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</si>
  <si>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</si>
  <si>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</si>
  <si>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</si>
  <si>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</si>
  <si>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</si>
  <si>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</si>
  <si>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</si>
  <si>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</si>
  <si>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</si>
  <si>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</si>
  <si>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</si>
  <si>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</si>
  <si>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</si>
  <si>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</si>
  <si>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</si>
  <si>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</si>
  <si>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</si>
  <si>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</si>
  <si>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</si>
  <si>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</si>
  <si>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</si>
  <si>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</si>
  <si>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</si>
  <si>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</si>
  <si>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</si>
  <si>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</si>
  <si>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</si>
  <si>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</si>
  <si>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</si>
  <si>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</si>
  <si>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</si>
  <si>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</si>
  <si>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</si>
  <si>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</si>
  <si>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</si>
  <si>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</si>
  <si>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</si>
  <si>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</si>
  <si>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</si>
  <si>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</si>
  <si>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</si>
  <si>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</si>
  <si>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</si>
  <si>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</si>
  <si>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</si>
  <si>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</si>
  <si>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</si>
  <si>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</si>
  <si>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</si>
  <si>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</si>
  <si>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</si>
  <si>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</si>
  <si>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</si>
  <si>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</si>
  <si>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</si>
  <si>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</si>
  <si>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</si>
  <si>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</si>
  <si>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</si>
  <si>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</si>
  <si>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</si>
  <si>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</si>
  <si>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</si>
  <si>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</si>
  <si>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</si>
  <si>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</si>
  <si>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</si>
  <si>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</si>
  <si>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</si>
  <si>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</si>
  <si>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</si>
  <si>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</si>
  <si>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</si>
  <si>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</si>
  <si>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</si>
  <si>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</si>
  <si>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</si>
  <si>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</si>
  <si>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</si>
  <si>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</si>
  <si>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</si>
  <si>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</si>
  <si>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</si>
  <si>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</si>
  <si>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</si>
  <si>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</si>
  <si>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</si>
  <si>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</si>
  <si>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</si>
  <si>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</si>
  <si>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</si>
  <si>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</si>
  <si>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</si>
  <si>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</si>
  <si>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</si>
  <si>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</si>
  <si>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</si>
  <si>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</si>
  <si>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</si>
  <si>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</si>
  <si>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</si>
  <si>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</si>
  <si>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</si>
  <si>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</si>
  <si>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</si>
  <si>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</si>
  <si>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</si>
  <si>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</si>
  <si>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</si>
  <si>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</si>
  <si>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</si>
  <si>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</si>
  <si>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</si>
  <si>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</si>
  <si>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</si>
  <si>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</si>
  <si>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</si>
  <si>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</si>
  <si>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</si>
  <si>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</si>
  <si>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</si>
  <si>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</si>
  <si>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</si>
  <si>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</si>
  <si>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</si>
  <si>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</si>
  <si>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</si>
  <si>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</si>
  <si>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</si>
  <si>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</si>
  <si>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</si>
  <si>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</si>
  <si>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</si>
  <si>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</si>
  <si>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</si>
  <si>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</si>
  <si>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</si>
  <si>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</si>
  <si>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</si>
  <si>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</si>
  <si>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</si>
  <si>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</si>
  <si>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</si>
  <si>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</si>
  <si>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</si>
  <si>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</si>
  <si>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</si>
  <si>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</si>
  <si>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</si>
  <si>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</si>
  <si>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</si>
  <si>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</si>
  <si>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</si>
  <si>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</si>
  <si>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</si>
  <si>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</si>
  <si>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</si>
  <si>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</si>
  <si>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</si>
  <si>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</si>
  <si>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</si>
  <si>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</si>
  <si>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</si>
  <si>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</si>
  <si>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</si>
  <si>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</si>
  <si>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</si>
  <si>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</si>
  <si>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</si>
  <si>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</si>
  <si>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</si>
  <si>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</si>
  <si>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</si>
  <si>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</si>
  <si>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</si>
  <si>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</si>
  <si>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</si>
  <si>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</si>
  <si>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</si>
  <si>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</si>
  <si>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</si>
  <si>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</si>
  <si>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</si>
  <si>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</si>
  <si>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</si>
  <si>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</si>
  <si>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</si>
  <si>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</si>
  <si>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</si>
  <si>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</si>
  <si>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</si>
  <si>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</si>
  <si>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</si>
  <si>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</si>
  <si>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</si>
  <si>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</si>
  <si>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</si>
  <si>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</si>
  <si>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</si>
  <si>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</si>
  <si>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</si>
  <si>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</si>
  <si>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</si>
  <si>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</si>
  <si>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</si>
  <si>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</si>
  <si>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</si>
  <si>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</si>
  <si>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</si>
  <si>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</si>
  <si>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</si>
  <si>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</si>
  <si>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</si>
  <si>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</si>
  <si>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</si>
  <si>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</si>
  <si>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</si>
  <si>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</si>
  <si>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</si>
  <si>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</si>
  <si>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</si>
  <si>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</si>
  <si>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</si>
  <si>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</si>
  <si>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</si>
  <si>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</si>
  <si>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</si>
  <si>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</si>
  <si>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</si>
  <si>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</si>
  <si>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</si>
  <si>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</si>
  <si>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</si>
  <si>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</si>
  <si>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</si>
  <si>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</si>
  <si>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</si>
  <si>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</si>
  <si>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</si>
  <si>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</si>
  <si>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</si>
  <si>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</si>
  <si>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</si>
  <si>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</si>
  <si>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</si>
  <si>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</si>
  <si>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</si>
  <si>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</si>
  <si>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</si>
  <si>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</si>
  <si>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</si>
  <si>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</si>
  <si>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</si>
  <si>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</si>
  <si>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</si>
  <si>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</si>
  <si>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</si>
  <si>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</si>
  <si>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</si>
  <si>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</si>
  <si>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</si>
  <si>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</si>
  <si>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</si>
  <si>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</si>
  <si>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</si>
  <si>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</si>
  <si>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</si>
  <si>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</si>
  <si>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</si>
  <si>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</si>
  <si>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</si>
  <si>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</si>
  <si>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</si>
  <si>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</si>
  <si>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</si>
  <si>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</si>
  <si>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</si>
  <si>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</si>
  <si>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</si>
  <si>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</si>
  <si>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</si>
  <si>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</si>
  <si>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</si>
  <si>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</si>
  <si>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</si>
  <si>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</si>
  <si>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</si>
  <si>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</si>
  <si>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</si>
  <si>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</si>
  <si>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</si>
  <si>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</si>
  <si>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</si>
  <si>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</si>
  <si>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</si>
  <si>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</si>
  <si>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</si>
  <si>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</si>
  <si>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</si>
  <si>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</si>
  <si>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</si>
  <si>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</si>
  <si>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</si>
  <si>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</si>
  <si>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</si>
  <si>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</si>
  <si>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</si>
  <si>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</si>
  <si>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</si>
  <si>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</si>
  <si>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</si>
  <si>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</si>
  <si>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</si>
  <si>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</si>
  <si>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</si>
  <si>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</si>
  <si>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</si>
  <si>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</si>
  <si>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</si>
  <si>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</si>
  <si>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</si>
  <si>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</si>
  <si>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</si>
  <si>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</si>
  <si>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</si>
  <si>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</si>
  <si>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</si>
  <si>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</si>
  <si>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</si>
  <si>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</si>
  <si>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</si>
  <si>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</si>
  <si>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</si>
  <si>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</si>
  <si>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</si>
  <si>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</si>
  <si>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</si>
  <si>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</si>
  <si>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</si>
  <si>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</si>
  <si>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</si>
  <si>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</si>
  <si>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</si>
  <si>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</si>
  <si>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</si>
  <si>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</si>
  <si>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</si>
  <si>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</si>
  <si>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</si>
  <si>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</si>
  <si>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</si>
  <si>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</si>
  <si>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</si>
  <si>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</si>
  <si>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</si>
  <si>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</si>
  <si>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</si>
  <si>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</si>
  <si>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</si>
  <si>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</si>
  <si>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</si>
  <si>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</si>
  <si>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</si>
  <si>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</si>
  <si>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</si>
  <si>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</si>
  <si>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</si>
  <si>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</si>
  <si>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</si>
  <si>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</si>
  <si>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</si>
  <si>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</si>
  <si>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</si>
  <si>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</si>
  <si>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</si>
  <si>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</si>
  <si>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</si>
  <si>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</si>
  <si>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</si>
  <si>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</si>
  <si>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</si>
  <si>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</si>
  <si>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</si>
  <si>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</si>
  <si>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</si>
  <si>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</si>
  <si>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</si>
  <si>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</si>
  <si>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</si>
  <si>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</si>
  <si>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</si>
  <si>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</si>
  <si>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</si>
  <si>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</si>
  <si>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</si>
  <si>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</si>
  <si>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</si>
  <si>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</si>
  <si>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</si>
  <si>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</si>
  <si>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</si>
  <si>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</si>
  <si>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</si>
  <si>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</si>
  <si>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</si>
  <si>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</si>
  <si>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</si>
  <si>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</si>
  <si>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</si>
  <si>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</si>
  <si>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</si>
  <si>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</si>
  <si>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</si>
  <si>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</si>
  <si>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</si>
  <si>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</si>
  <si>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</si>
  <si>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</si>
  <si>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</si>
  <si>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</si>
  <si>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</si>
  <si>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</si>
  <si>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</si>
  <si>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</si>
  <si>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</si>
  <si>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</si>
  <si>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</si>
  <si>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</si>
  <si>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</si>
  <si>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</si>
  <si>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</si>
  <si>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</si>
  <si>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</si>
  <si>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</si>
  <si>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</si>
  <si>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</si>
  <si>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</si>
  <si>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</si>
  <si>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</si>
  <si>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</si>
  <si>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</si>
  <si>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</si>
  <si>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</si>
  <si>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</si>
  <si>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</si>
  <si>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</si>
  <si>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</si>
  <si>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</si>
  <si>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</si>
  <si>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</si>
  <si>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</si>
  <si>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</si>
  <si>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</si>
  <si>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</si>
  <si>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</si>
  <si>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</si>
  <si>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</si>
  <si>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</si>
  <si>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</si>
  <si>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</si>
  <si>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</si>
  <si>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</si>
  <si>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</si>
  <si>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</si>
  <si>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</si>
  <si>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</si>
  <si>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</si>
  <si>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</si>
  <si>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</si>
  <si>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</si>
  <si>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</si>
  <si>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</si>
  <si>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</si>
  <si>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</si>
  <si>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</si>
  <si>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</si>
  <si>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</si>
  <si>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</si>
  <si>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</si>
  <si>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</si>
  <si>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</si>
  <si>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</si>
  <si>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</si>
  <si>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</si>
  <si>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</si>
  <si>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</si>
  <si>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</si>
  <si>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</si>
  <si>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</si>
  <si>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</si>
  <si>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</si>
  <si>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</si>
  <si>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</si>
  <si>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</si>
  <si>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</si>
  <si>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</si>
  <si>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</si>
  <si>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</si>
  <si>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</si>
  <si>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</si>
  <si>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</si>
  <si>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</si>
  <si>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</si>
  <si>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</si>
  <si>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</si>
  <si>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</si>
  <si>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</si>
  <si>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</si>
  <si>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</si>
  <si>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</si>
  <si>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</si>
  <si>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</si>
  <si>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</si>
  <si>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</si>
  <si>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</si>
  <si>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</si>
  <si>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</si>
  <si>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</si>
  <si>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</si>
  <si>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</si>
  <si>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</si>
  <si>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</si>
  <si>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</si>
  <si>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</si>
  <si>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</si>
  <si>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</si>
  <si>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</si>
  <si>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</si>
  <si>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</si>
  <si>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</si>
  <si>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</si>
  <si>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</si>
  <si>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</si>
  <si>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</si>
  <si>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</si>
  <si>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</si>
  <si>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</si>
  <si>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</si>
  <si>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</si>
  <si>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</si>
  <si>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</si>
  <si>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</si>
  <si>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</si>
  <si>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</si>
  <si>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</si>
  <si>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</si>
  <si>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</si>
  <si>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</si>
  <si>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</si>
  <si>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</si>
  <si>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</si>
  <si>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</si>
  <si>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</si>
  <si>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</si>
  <si>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</si>
  <si>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</si>
  <si>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</si>
  <si>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</si>
  <si>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</si>
  <si>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</si>
  <si>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</si>
  <si>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</si>
  <si>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</si>
  <si>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</si>
  <si>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</si>
  <si>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</si>
  <si>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</si>
  <si>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</si>
  <si>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</si>
  <si>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</si>
  <si>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</si>
  <si>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</si>
  <si>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</si>
  <si>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</si>
  <si>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</si>
  <si>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</si>
  <si>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</si>
  <si>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</si>
  <si>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</si>
  <si>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</si>
  <si>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</si>
  <si>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</si>
  <si>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</si>
  <si>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</si>
  <si>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</si>
  <si>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</si>
  <si>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</si>
  <si>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</si>
  <si>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</si>
  <si>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</si>
  <si>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</si>
  <si>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</si>
  <si>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</si>
  <si>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</si>
  <si>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</si>
  <si>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</si>
  <si>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</si>
  <si>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</si>
  <si>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</si>
  <si>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</si>
  <si>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</si>
  <si>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</si>
  <si>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</si>
  <si>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</si>
  <si>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</si>
  <si>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</si>
  <si>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</si>
  <si>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</si>
  <si>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</si>
  <si>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</si>
  <si>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</si>
  <si>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</si>
  <si>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</si>
  <si>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</si>
  <si>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</si>
  <si>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</si>
  <si>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</si>
  <si>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</si>
  <si>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</si>
  <si>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</si>
  <si>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</si>
  <si>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</si>
  <si>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</si>
  <si>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</si>
  <si>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</si>
  <si>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</si>
  <si>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</si>
  <si>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</si>
  <si>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</si>
  <si>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</si>
  <si>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</si>
  <si>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</si>
  <si>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</si>
  <si>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</si>
  <si>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</si>
  <si>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</si>
  <si>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</si>
  <si>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</si>
  <si>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</si>
  <si>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</si>
  <si>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</si>
  <si>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</si>
  <si>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</si>
  <si>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</si>
  <si>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</si>
  <si>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</si>
  <si>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</si>
  <si>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</si>
  <si>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</si>
  <si>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</si>
  <si>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</si>
  <si>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</si>
  <si>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</si>
  <si>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</si>
  <si>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</si>
  <si>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</si>
  <si>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</si>
  <si>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</si>
  <si>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</si>
  <si>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</si>
  <si>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</si>
  <si>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</si>
  <si>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</si>
  <si>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</si>
  <si>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</si>
  <si>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</si>
  <si>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</si>
  <si>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</si>
  <si>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</si>
  <si>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</si>
  <si>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</si>
  <si>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</si>
  <si>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</si>
  <si>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</si>
  <si>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</si>
  <si>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</si>
  <si>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</si>
  <si>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</si>
  <si>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</si>
  <si>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</si>
  <si>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</si>
  <si>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</si>
  <si>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</si>
  <si>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</si>
  <si>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</si>
  <si>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</si>
  <si>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</si>
  <si>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</si>
  <si>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</si>
  <si>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</si>
  <si>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</si>
  <si>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</si>
  <si>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</si>
  <si>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</si>
  <si>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</si>
  <si>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</si>
  <si>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</si>
  <si>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</si>
  <si>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</si>
  <si>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</si>
  <si>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</si>
  <si>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</si>
  <si>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</si>
  <si>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</si>
  <si>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</si>
  <si>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</si>
  <si>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</si>
  <si>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</si>
  <si>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</si>
  <si>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</si>
  <si>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</si>
  <si>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</si>
  <si>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</si>
  <si>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</si>
  <si>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</si>
  <si>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</si>
  <si>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</si>
  <si>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</si>
  <si>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</si>
  <si>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</si>
  <si>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</si>
  <si>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</si>
  <si>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</si>
  <si>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</si>
  <si>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</si>
  <si>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</si>
  <si>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</si>
  <si>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</si>
  <si>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</si>
  <si>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</si>
  <si>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</si>
  <si>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</si>
  <si>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</si>
  <si>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</si>
  <si>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</si>
  <si>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</si>
  <si>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</si>
  <si>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</si>
  <si>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</si>
  <si>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</si>
  <si>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</si>
  <si>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</si>
  <si>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</si>
  <si>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</si>
  <si>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</si>
  <si>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</si>
  <si>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</si>
  <si>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</si>
  <si>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</si>
  <si>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</si>
  <si>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</si>
  <si>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</si>
  <si>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</si>
  <si>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</si>
  <si>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</si>
  <si>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</si>
  <si>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</si>
  <si>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</si>
  <si>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</si>
  <si>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</si>
  <si>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</si>
  <si>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</si>
  <si>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</si>
  <si>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</si>
  <si>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</si>
  <si>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</si>
  <si>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</si>
  <si>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</si>
  <si>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</si>
  <si>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</si>
  <si>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</si>
  <si>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</si>
  <si>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</si>
  <si>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</si>
  <si>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</si>
  <si>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</si>
  <si>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</si>
  <si>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</si>
  <si>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</si>
  <si>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</si>
  <si>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</si>
  <si>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</si>
  <si>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</si>
  <si>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</si>
  <si>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</si>
  <si>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</si>
  <si>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</si>
  <si>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</si>
  <si>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</si>
  <si>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</si>
  <si>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</si>
  <si>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</si>
  <si>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</si>
  <si>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</si>
  <si>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</si>
  <si>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</si>
  <si>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</si>
  <si>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</si>
  <si>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</si>
  <si>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</si>
  <si>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</si>
  <si>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</si>
  <si>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</si>
  <si>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</si>
  <si>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</si>
  <si>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</si>
  <si>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</si>
  <si>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</si>
  <si>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</si>
  <si>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</si>
  <si>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</si>
  <si>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</si>
  <si>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</si>
  <si>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</si>
  <si>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</si>
  <si>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</si>
  <si>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</si>
  <si>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</si>
  <si>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</si>
  <si>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</si>
  <si>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</si>
  <si>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</si>
  <si>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</si>
  <si>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</si>
  <si>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</si>
  <si>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</si>
  <si>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</si>
  <si>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</si>
  <si>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</si>
  <si>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</si>
  <si>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</si>
  <si>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</si>
  <si>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</si>
  <si>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</si>
  <si>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</si>
  <si>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</si>
  <si>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</si>
  <si>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</si>
  <si>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</si>
  <si>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</si>
  <si>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</si>
  <si>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</si>
  <si>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</si>
  <si>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</si>
  <si>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</si>
  <si>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</si>
  <si>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</si>
  <si>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</si>
  <si>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</si>
  <si>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</si>
  <si>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</si>
  <si>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</si>
  <si>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</si>
  <si>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</si>
  <si>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</si>
  <si>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</si>
  <si>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</si>
  <si>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</si>
  <si>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</si>
  <si>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</si>
  <si>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</si>
  <si>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</si>
  <si>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</si>
  <si>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</si>
  <si>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</si>
  <si>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</si>
  <si>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</si>
  <si>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</si>
  <si>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</si>
  <si>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</si>
  <si>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</si>
  <si>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</si>
  <si>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</si>
  <si>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</si>
  <si>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</si>
  <si>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</si>
  <si>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</si>
  <si>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</si>
  <si>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</si>
  <si>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</si>
  <si>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</si>
  <si>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</si>
  <si>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</si>
  <si>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</si>
  <si>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</si>
  <si>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</si>
  <si>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</si>
  <si>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</si>
  <si>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</si>
  <si>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</si>
  <si>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</si>
  <si>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</si>
  <si>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</si>
  <si>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</si>
  <si>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</si>
  <si>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</si>
  <si>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</si>
  <si>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</si>
  <si>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</si>
  <si>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</si>
  <si>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</si>
  <si>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</si>
  <si>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</si>
  <si>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</si>
  <si>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</si>
  <si>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</si>
  <si>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</si>
  <si>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</si>
  <si>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</si>
  <si>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</si>
  <si>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</si>
  <si>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</si>
  <si>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</si>
  <si>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</si>
  <si>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</si>
  <si>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</si>
  <si>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</si>
  <si>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</si>
  <si>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</si>
  <si>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</si>
  <si>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</si>
  <si>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</si>
  <si>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</si>
  <si>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</si>
  <si>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</si>
  <si>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</si>
  <si>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</si>
  <si>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</si>
  <si>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</si>
  <si>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</si>
  <si>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</si>
  <si>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</si>
  <si>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</si>
  <si>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</si>
  <si>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</si>
  <si>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</si>
  <si>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</si>
  <si>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</si>
  <si>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</si>
  <si>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</si>
  <si>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</si>
  <si>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</si>
  <si>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</si>
  <si>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</si>
  <si>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</si>
  <si>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</si>
  <si>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</si>
  <si>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</si>
  <si>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</si>
  <si>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</si>
  <si>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</si>
  <si>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</si>
  <si>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</si>
  <si>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</si>
  <si>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</si>
  <si>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</si>
  <si>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</si>
  <si>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</si>
  <si>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</si>
  <si>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</si>
  <si>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</si>
  <si>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</si>
  <si>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</si>
  <si>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</si>
  <si>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</si>
  <si>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</si>
  <si>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</si>
  <si>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</si>
  <si>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</si>
  <si>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</si>
  <si>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</si>
  <si>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</si>
  <si>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</si>
  <si>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</si>
  <si>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</si>
  <si>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</si>
  <si>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</si>
  <si>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</si>
  <si>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</si>
  <si>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</si>
  <si>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</si>
  <si>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</si>
  <si>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</si>
  <si>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</si>
  <si>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</si>
  <si>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</si>
  <si>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</si>
  <si>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</si>
  <si>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</si>
  <si>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</si>
  <si>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</si>
  <si>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</si>
  <si>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</si>
  <si>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</si>
  <si>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</si>
  <si>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</si>
  <si>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</si>
  <si>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</si>
  <si>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</si>
  <si>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</si>
  <si>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</si>
  <si>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</si>
  <si>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</si>
  <si>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</si>
  <si>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</si>
  <si>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</si>
  <si>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</si>
  <si>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</si>
  <si>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</si>
  <si>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</si>
  <si>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</si>
  <si>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</si>
  <si>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</si>
  <si>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</si>
  <si>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</si>
  <si>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</si>
  <si>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</si>
  <si>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</si>
  <si>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</si>
  <si>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</si>
  <si>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</si>
  <si>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</si>
  <si>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</si>
  <si>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</si>
  <si>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</si>
  <si>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</si>
  <si>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</si>
  <si>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</si>
  <si>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</si>
  <si>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</si>
  <si>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</si>
  <si>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</si>
  <si>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</si>
  <si>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</si>
  <si>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</si>
  <si>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</si>
  <si>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</si>
  <si>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</si>
  <si>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</si>
  <si>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</si>
  <si>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</si>
  <si>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</si>
  <si>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</si>
  <si>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</si>
  <si>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</si>
  <si>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</si>
  <si>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</si>
  <si>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</si>
  <si>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</si>
  <si>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</si>
  <si>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</si>
  <si>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</si>
  <si>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</si>
  <si>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</si>
  <si>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</si>
  <si>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</si>
  <si>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</si>
  <si>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</si>
  <si>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</si>
  <si>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</si>
  <si>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</si>
  <si>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</si>
  <si>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</si>
  <si>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</si>
  <si>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</si>
  <si>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</si>
  <si>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</si>
  <si>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</si>
  <si>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</si>
  <si>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</si>
  <si>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</si>
  <si>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</si>
  <si>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</si>
  <si>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</si>
  <si>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</si>
  <si>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</si>
  <si>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</si>
  <si>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</si>
  <si>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</si>
  <si>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</si>
  <si>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</si>
  <si>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</si>
  <si>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</si>
  <si>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</si>
  <si>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</si>
  <si>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</si>
  <si>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</si>
  <si>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</si>
  <si>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</si>
  <si>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</si>
  <si>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</si>
  <si>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</si>
  <si>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</si>
  <si>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</si>
  <si>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</si>
  <si>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</si>
  <si>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</si>
  <si>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</si>
  <si>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</si>
  <si>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</si>
  <si>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</si>
  <si>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</si>
  <si>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</si>
  <si>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</si>
  <si>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</si>
  <si>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</si>
  <si>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</si>
  <si>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</si>
  <si>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</si>
  <si>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</si>
  <si>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</si>
  <si>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</si>
  <si>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</si>
  <si>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</si>
  <si>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</si>
  <si>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</si>
  <si>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</si>
  <si>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</si>
  <si>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</si>
  <si>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</si>
  <si>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</si>
  <si>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</si>
  <si>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</si>
  <si>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</si>
  <si>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</si>
  <si>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</si>
  <si>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</si>
  <si>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</si>
  <si>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</si>
  <si>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</si>
  <si>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</si>
  <si>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</si>
  <si>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</si>
  <si>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</si>
  <si>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</si>
  <si>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</si>
  <si>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</si>
  <si>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</si>
  <si>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</si>
  <si>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</si>
  <si>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</si>
  <si>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</si>
  <si>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</si>
  <si>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</si>
  <si>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</si>
  <si>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</si>
  <si>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</si>
  <si>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</si>
  <si>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</si>
  <si>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</si>
  <si>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</si>
  <si>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</si>
  <si>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</si>
  <si>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</si>
  <si>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</si>
  <si>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</si>
  <si>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</si>
  <si>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</si>
  <si>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</si>
  <si>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</si>
  <si>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</si>
  <si>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</si>
  <si>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</si>
  <si>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</si>
  <si>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</si>
  <si>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</si>
  <si>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</si>
  <si>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</si>
  <si>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</si>
  <si>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</si>
  <si>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</si>
  <si>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</si>
  <si>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</si>
  <si>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</si>
  <si>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</si>
  <si>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</si>
  <si>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</si>
  <si>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</si>
  <si>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</si>
  <si>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</si>
  <si>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</si>
  <si>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</si>
  <si>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</si>
  <si>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</si>
  <si>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</si>
  <si>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</si>
  <si>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</si>
  <si>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</si>
  <si>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</si>
  <si>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</si>
  <si>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</si>
  <si>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</si>
  <si>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</si>
  <si>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</si>
  <si>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</si>
  <si>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</si>
  <si>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</si>
  <si>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</si>
  <si>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</si>
  <si>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</si>
  <si>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</si>
  <si>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</si>
  <si>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</si>
  <si>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</si>
  <si>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</si>
  <si>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</si>
  <si>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</si>
  <si>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</si>
  <si>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</si>
  <si>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</si>
  <si>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</si>
  <si>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</si>
  <si>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</si>
  <si>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</si>
  <si>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</si>
  <si>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</si>
  <si>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</si>
  <si>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</si>
  <si>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</si>
  <si>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</si>
  <si>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</si>
  <si>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</si>
  <si>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</si>
  <si>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</si>
  <si>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</si>
  <si>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</si>
  <si>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</si>
  <si>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</si>
  <si>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</si>
  <si>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</si>
  <si>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</si>
  <si>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</si>
  <si>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</si>
  <si>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</si>
  <si>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</si>
  <si>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</si>
  <si>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</si>
  <si>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</si>
  <si>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</si>
  <si>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</si>
  <si>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</si>
  <si>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</si>
  <si>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</si>
  <si>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</si>
  <si>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</si>
  <si>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</si>
  <si>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</si>
  <si>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</si>
  <si>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</si>
  <si>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</si>
  <si>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</si>
  <si>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</si>
  <si>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</si>
  <si>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</si>
  <si>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</si>
  <si>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</si>
  <si>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</si>
  <si>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</si>
  <si>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</si>
  <si>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</si>
  <si>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</si>
  <si>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</si>
  <si>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</si>
  <si>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</si>
  <si>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</si>
  <si>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</si>
  <si>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</si>
  <si>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</si>
  <si>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</si>
  <si>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</si>
  <si>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</si>
  <si>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</si>
  <si>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</si>
  <si>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</si>
  <si>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</si>
  <si>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</si>
  <si>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</si>
  <si>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</si>
  <si>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</si>
  <si>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</si>
  <si>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</si>
  <si>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</si>
  <si>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</si>
  <si>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</si>
  <si>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</si>
  <si>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</si>
  <si>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</si>
  <si>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</si>
  <si>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</si>
  <si>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</si>
  <si>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</si>
  <si>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</si>
  <si>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</si>
  <si>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</si>
  <si>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</si>
  <si>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</si>
  <si>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</si>
  <si>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</si>
  <si>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</si>
  <si>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</si>
  <si>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</si>
  <si>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</si>
  <si>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</si>
  <si>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</si>
  <si>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</si>
  <si>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</si>
  <si>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</si>
  <si>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</si>
  <si>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</si>
  <si>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</si>
  <si>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</si>
  <si>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</si>
  <si>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</si>
  <si>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</si>
  <si>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</si>
  <si>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</si>
  <si>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</si>
  <si>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</si>
  <si>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</si>
  <si>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</si>
  <si>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</si>
  <si>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</si>
  <si>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</si>
  <si>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</si>
  <si>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</si>
  <si>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</si>
  <si>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</si>
  <si>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</si>
  <si>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</si>
  <si>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</si>
  <si>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</si>
  <si>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</si>
  <si>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</si>
  <si>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</si>
  <si>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</si>
  <si>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</si>
  <si>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</si>
  <si>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</si>
  <si>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</si>
  <si>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</si>
  <si>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</si>
  <si>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</si>
  <si>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</si>
  <si>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</si>
  <si>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</si>
  <si>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</si>
  <si>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</si>
  <si>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</si>
  <si>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</si>
  <si>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</si>
  <si>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</si>
  <si>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</si>
  <si>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</si>
  <si>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</si>
  <si>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</si>
  <si>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</si>
  <si>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</si>
  <si>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</si>
  <si>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</si>
  <si>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</si>
  <si>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</si>
  <si>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</si>
  <si>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</si>
  <si>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</si>
  <si>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</si>
  <si>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</si>
  <si>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</si>
  <si>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</si>
  <si>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</si>
  <si>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</si>
  <si>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</si>
  <si>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</si>
  <si>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</si>
  <si>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</si>
  <si>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</si>
  <si>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</si>
  <si>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</si>
  <si>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</si>
  <si>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</si>
  <si>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</si>
  <si>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</si>
  <si>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</si>
  <si>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</si>
  <si>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</si>
  <si>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</si>
  <si>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</si>
  <si>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</si>
  <si>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</si>
  <si>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</si>
  <si>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</si>
  <si>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</si>
  <si>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</si>
  <si>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</si>
  <si>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</si>
  <si>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</si>
  <si>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</si>
  <si>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</si>
  <si>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</si>
  <si>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</si>
  <si>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</si>
  <si>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</si>
  <si>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</si>
  <si>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</si>
  <si>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</si>
  <si>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</si>
  <si>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</si>
  <si>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</si>
  <si>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</si>
  <si>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</si>
  <si>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</si>
  <si>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</si>
  <si>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</si>
  <si>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</si>
  <si>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</si>
  <si>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</si>
  <si>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</si>
  <si>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</si>
  <si>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</si>
  <si>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</si>
  <si>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</si>
  <si>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</si>
  <si>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</si>
  <si>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</si>
  <si>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</si>
  <si>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</si>
  <si>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</si>
  <si>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</si>
  <si>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</si>
  <si>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</si>
  <si>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</si>
  <si>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</si>
  <si>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</si>
  <si>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</si>
  <si>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</si>
  <si>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</si>
  <si>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</si>
  <si>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</si>
  <si>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</si>
  <si>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</si>
  <si>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</si>
  <si>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</si>
  <si>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</si>
  <si>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</si>
  <si>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</si>
  <si>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</si>
  <si>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</si>
  <si>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</si>
  <si>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</si>
  <si>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</si>
  <si>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</si>
  <si>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</si>
  <si>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</si>
  <si>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</si>
  <si>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</si>
  <si>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</si>
  <si>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</si>
  <si>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</si>
  <si>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</si>
  <si>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</si>
  <si>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</si>
  <si>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</si>
  <si>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</si>
  <si>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</si>
  <si>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</si>
  <si>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</si>
  <si>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</si>
  <si>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</si>
  <si>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</si>
  <si>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</si>
  <si>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</si>
  <si>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</si>
  <si>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</si>
  <si>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</si>
  <si>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</si>
  <si>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</si>
  <si>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</si>
  <si>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</si>
  <si>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</si>
  <si>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</si>
  <si>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</si>
  <si>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</si>
  <si>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</si>
  <si>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</si>
  <si>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</si>
  <si>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</si>
  <si>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</si>
  <si>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</si>
  <si>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</si>
  <si>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</si>
  <si>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</si>
  <si>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</si>
  <si>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</si>
  <si>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</si>
  <si>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</si>
  <si>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</si>
  <si>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</si>
  <si>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</si>
  <si>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</si>
  <si>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</si>
  <si>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</si>
  <si>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</si>
  <si>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</si>
  <si>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</si>
  <si>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</si>
  <si>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</si>
  <si>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</si>
  <si>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</si>
  <si>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</si>
  <si>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</si>
  <si>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</si>
  <si>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</si>
  <si>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</si>
  <si>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</si>
  <si>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</si>
  <si>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</si>
  <si>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</si>
  <si>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</si>
  <si>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</si>
  <si>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</si>
  <si>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</si>
  <si>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</si>
  <si>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</si>
  <si>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</si>
  <si>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</si>
  <si>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</si>
  <si>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</si>
  <si>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</si>
  <si>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</si>
  <si>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</si>
  <si>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</si>
  <si>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</si>
  <si>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</si>
  <si>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</si>
  <si>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</si>
  <si>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</si>
  <si>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</si>
  <si>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</si>
  <si>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</si>
  <si>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</si>
  <si>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</si>
  <si>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</si>
  <si>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</si>
  <si>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</si>
  <si>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</si>
  <si>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</si>
  <si>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</si>
  <si>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</si>
  <si>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</si>
  <si>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</si>
  <si>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</si>
  <si>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</si>
  <si>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</si>
  <si>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</si>
  <si>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</si>
  <si>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</si>
  <si>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</si>
  <si>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</si>
  <si>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</si>
  <si>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</si>
  <si>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</si>
  <si>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</si>
  <si>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</si>
  <si>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</si>
  <si>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</si>
  <si>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</si>
  <si>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</si>
  <si>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</si>
  <si>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</si>
  <si>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</si>
  <si>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</si>
  <si>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</si>
  <si>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</si>
  <si>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</si>
  <si>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</si>
  <si>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</si>
  <si>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</si>
  <si>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</si>
  <si>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</si>
  <si>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</si>
  <si>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</si>
  <si>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</si>
  <si>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</si>
  <si>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</si>
  <si>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</si>
  <si>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</si>
  <si>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</si>
  <si>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</si>
  <si>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</si>
  <si>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</si>
  <si>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</si>
  <si>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</si>
  <si>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</si>
  <si>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</si>
  <si>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</si>
  <si>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</si>
  <si>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</si>
  <si>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</si>
  <si>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</si>
  <si>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</si>
  <si>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</si>
  <si>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</si>
  <si>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</si>
  <si>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</si>
  <si>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</si>
  <si>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</si>
  <si>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</si>
  <si>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</si>
  <si>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</si>
  <si>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</si>
  <si>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</si>
  <si>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</si>
  <si>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</si>
  <si>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</si>
  <si>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</si>
  <si>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</si>
  <si>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</si>
  <si>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</si>
  <si>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</si>
  <si>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</si>
  <si>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</si>
  <si>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</si>
  <si>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</si>
  <si>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</si>
  <si>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</si>
  <si>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</si>
  <si>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</si>
  <si>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</si>
  <si>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</si>
  <si>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</si>
  <si>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</si>
  <si>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</si>
  <si>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</si>
  <si>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</si>
  <si>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</si>
  <si>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</si>
  <si>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</si>
  <si>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</si>
  <si>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</si>
  <si>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</si>
  <si>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</si>
  <si>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</si>
  <si>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</si>
  <si>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</si>
  <si>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</si>
  <si>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</si>
  <si>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</si>
  <si>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</si>
  <si>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</si>
  <si>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</si>
  <si>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</si>
  <si>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</si>
  <si>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</si>
  <si>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</si>
  <si>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</si>
  <si>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</si>
  <si>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</si>
  <si>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</si>
  <si>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</si>
  <si>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</si>
  <si>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</si>
  <si>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</si>
  <si>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</si>
  <si>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</si>
  <si>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</si>
  <si>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</si>
  <si>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</si>
  <si>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</si>
  <si>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</si>
  <si>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</si>
  <si>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</si>
  <si>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</si>
  <si>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</si>
  <si>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</si>
  <si>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</si>
  <si>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</si>
  <si>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</si>
  <si>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</si>
  <si>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</si>
  <si>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</si>
  <si>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</si>
  <si>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</si>
  <si>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</si>
  <si>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</si>
  <si>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</si>
  <si>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</si>
  <si>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</si>
  <si>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</si>
  <si>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</si>
  <si>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</si>
  <si>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</si>
  <si>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</si>
  <si>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</si>
  <si>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</si>
  <si>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</si>
  <si>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</si>
  <si>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</si>
  <si>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</si>
  <si>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</si>
  <si>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</si>
  <si>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</si>
  <si>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</si>
  <si>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</si>
  <si>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</si>
  <si>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</si>
  <si>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</si>
  <si>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</si>
  <si>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</si>
  <si>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</si>
  <si>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</si>
  <si>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</si>
  <si>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</si>
  <si>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</si>
  <si>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</si>
  <si>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</si>
  <si>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</si>
  <si>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</si>
  <si>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</si>
  <si>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</si>
  <si>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</si>
  <si>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</si>
  <si>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</si>
  <si>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</si>
  <si>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</si>
  <si>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</si>
  <si>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</si>
  <si>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</si>
  <si>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</si>
  <si>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</si>
  <si>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</si>
  <si>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</si>
  <si>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</si>
  <si>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</si>
  <si>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</si>
  <si>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</si>
  <si>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</si>
  <si>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</si>
  <si>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</si>
  <si>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</si>
  <si>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</si>
  <si>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</si>
  <si>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</si>
  <si>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</si>
  <si>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</si>
  <si>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</si>
  <si>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</si>
  <si>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</si>
  <si>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</si>
  <si>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</si>
  <si>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</si>
  <si>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</si>
  <si>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</si>
  <si>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</si>
  <si>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</si>
  <si>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</si>
  <si>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</si>
  <si>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</si>
  <si>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</si>
  <si>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</si>
  <si>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</si>
  <si>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</si>
  <si>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</si>
  <si>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</si>
  <si>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</si>
  <si>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</si>
  <si>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</si>
  <si>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</si>
  <si>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</si>
  <si>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</si>
  <si>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</si>
  <si>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</si>
  <si>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</si>
  <si>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</si>
  <si>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</si>
  <si>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</si>
  <si>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</si>
  <si>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</si>
  <si>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</si>
  <si>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</si>
  <si>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</si>
  <si>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</si>
  <si>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</si>
  <si>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</si>
  <si>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</si>
  <si>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</si>
  <si>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</si>
  <si>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</si>
  <si>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</si>
  <si>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</si>
  <si>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</si>
  <si>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</si>
  <si>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</si>
  <si>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</si>
  <si>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</si>
  <si>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</si>
  <si>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</si>
  <si>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</si>
  <si>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</si>
  <si>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</si>
  <si>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</si>
  <si>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</si>
  <si>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</si>
  <si>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</si>
  <si>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</si>
  <si>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</si>
  <si>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</si>
  <si>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</si>
  <si>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</si>
  <si>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</si>
  <si>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</si>
  <si>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</si>
  <si>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</si>
  <si>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</si>
  <si>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</si>
  <si>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</si>
  <si>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</si>
  <si>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</si>
  <si>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</si>
  <si>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</si>
  <si>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</si>
  <si>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</si>
  <si>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</si>
  <si>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</si>
  <si>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</si>
  <si>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</si>
  <si>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</si>
  <si>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</si>
  <si>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</si>
  <si>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</si>
  <si>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</si>
  <si>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</si>
  <si>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</si>
  <si>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</si>
  <si>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</si>
  <si>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</si>
  <si>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</si>
  <si>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</si>
  <si>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</si>
  <si>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</si>
  <si>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</si>
  <si>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</si>
  <si>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</si>
  <si>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</si>
  <si>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</si>
  <si>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</si>
  <si>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</si>
  <si>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</si>
  <si>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</si>
  <si>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</si>
  <si>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</si>
  <si>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</si>
  <si>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</si>
  <si>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</si>
  <si>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</si>
  <si>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</si>
  <si>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</si>
  <si>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</si>
  <si>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</si>
  <si>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</si>
  <si>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</si>
  <si>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</si>
  <si>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</si>
  <si>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</si>
  <si>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</si>
  <si>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</si>
  <si>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</si>
  <si>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</si>
  <si>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</si>
  <si>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</si>
  <si>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</si>
  <si>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</si>
  <si>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</si>
  <si>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</si>
  <si>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</si>
  <si>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</si>
  <si>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</si>
  <si>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</si>
  <si>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</si>
  <si>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</si>
  <si>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</si>
  <si>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</si>
  <si>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</si>
  <si>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</si>
  <si>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</si>
  <si>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</si>
  <si>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</si>
  <si>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</si>
  <si>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</si>
  <si>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</si>
  <si>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</si>
  <si>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</si>
  <si>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</si>
  <si>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</si>
  <si>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</si>
  <si>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</si>
  <si>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</si>
  <si>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</si>
  <si>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</si>
  <si>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</si>
  <si>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</si>
  <si>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</si>
  <si>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</si>
  <si>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</si>
  <si>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</si>
  <si>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</si>
  <si>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</si>
  <si>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</si>
  <si>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</si>
  <si>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</si>
  <si>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</si>
  <si>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</si>
  <si>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</si>
  <si>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</si>
  <si>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</si>
  <si>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</si>
  <si>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</si>
  <si>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</si>
  <si>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</si>
  <si>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</si>
  <si>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</si>
  <si>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</si>
  <si>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</si>
  <si>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</si>
  <si>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</si>
  <si>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</si>
  <si>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</si>
  <si>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</si>
  <si>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</si>
  <si>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</si>
  <si>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</si>
  <si>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</si>
  <si>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</si>
  <si>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</si>
  <si>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</si>
  <si>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</si>
  <si>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</si>
  <si>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</si>
  <si>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</si>
  <si>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</si>
  <si>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</si>
  <si>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</si>
  <si>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</si>
  <si>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</si>
  <si>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</si>
  <si>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</si>
  <si>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</si>
  <si>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</si>
  <si>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</si>
  <si>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</si>
  <si>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</si>
  <si>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</si>
  <si>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</si>
  <si>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</si>
  <si>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</si>
  <si>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</si>
  <si>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</si>
  <si>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</si>
  <si>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</si>
  <si>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</si>
  <si>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</si>
  <si>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</si>
  <si>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</si>
  <si>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</si>
  <si>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</si>
  <si>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</si>
  <si>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</si>
  <si>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</si>
  <si>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</si>
  <si>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</si>
  <si>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</si>
  <si>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</si>
  <si>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</si>
  <si>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</si>
  <si>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</si>
  <si>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</si>
  <si>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</si>
  <si>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</si>
  <si>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</si>
  <si>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</si>
  <si>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</si>
  <si>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</si>
  <si>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</si>
  <si>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</si>
  <si>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</si>
  <si>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</si>
  <si>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</si>
  <si>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</si>
  <si>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</si>
  <si>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</si>
  <si>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</si>
  <si>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</si>
  <si>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</si>
  <si>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</si>
  <si>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</si>
  <si>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</si>
  <si>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</si>
  <si>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</si>
  <si>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</si>
  <si>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</si>
  <si>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</si>
  <si>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</si>
  <si>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</si>
  <si>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</si>
  <si>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</si>
  <si>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</si>
  <si>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</si>
  <si>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</si>
  <si>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</si>
  <si>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</si>
  <si>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</si>
  <si>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</si>
  <si>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</si>
  <si>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</si>
  <si>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</si>
  <si>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</si>
  <si>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</si>
  <si>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</si>
  <si>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</si>
  <si>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</si>
  <si>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</si>
  <si>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</si>
  <si>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</si>
  <si>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</si>
  <si>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</si>
  <si>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</si>
  <si>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</si>
  <si>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</si>
  <si>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</si>
  <si>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</si>
  <si>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</si>
  <si>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</si>
  <si>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</si>
  <si>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</si>
  <si>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</si>
  <si>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</si>
  <si>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</si>
  <si>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</si>
  <si>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</si>
  <si>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</si>
  <si>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</si>
  <si>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</si>
  <si>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</si>
  <si>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</si>
  <si>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</si>
  <si>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</si>
  <si>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</si>
  <si>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</si>
  <si>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</si>
  <si>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</si>
  <si>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</si>
  <si>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</si>
  <si>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</si>
  <si>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</si>
  <si>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</si>
  <si>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</si>
  <si>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</si>
  <si>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</si>
  <si>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</si>
  <si>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</si>
  <si>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</si>
  <si>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</si>
  <si>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</si>
  <si>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</si>
  <si>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</si>
  <si>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</si>
  <si>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</si>
  <si>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</si>
  <si>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</si>
  <si>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</si>
  <si>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</si>
  <si>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</si>
  <si>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</si>
  <si>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</si>
  <si>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</si>
  <si>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</si>
  <si>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</si>
  <si>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</si>
  <si>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</si>
  <si>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</si>
  <si>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</si>
  <si>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</si>
  <si>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</si>
  <si>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</si>
  <si>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</si>
  <si>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</si>
  <si>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</si>
  <si>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</si>
  <si>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</si>
  <si>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</si>
  <si>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</si>
  <si>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</si>
  <si>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</si>
  <si>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</si>
  <si>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</si>
  <si>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</si>
  <si>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</si>
  <si>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</si>
  <si>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</si>
  <si>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</si>
  <si>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</si>
  <si>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</si>
  <si>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</si>
  <si>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</si>
  <si>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</si>
  <si>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</si>
  <si>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</si>
  <si>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</si>
  <si>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</si>
  <si>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</si>
  <si>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</si>
  <si>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</si>
  <si>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</si>
  <si>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</si>
  <si>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</si>
  <si>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</si>
  <si>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</si>
  <si>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</si>
  <si>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</si>
  <si>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</si>
  <si>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</si>
  <si>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</si>
  <si>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</si>
  <si>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</si>
  <si>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</si>
  <si>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</si>
  <si>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</si>
  <si>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</si>
  <si>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</si>
  <si>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</si>
  <si>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</si>
  <si>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</si>
  <si>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</si>
  <si>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</si>
  <si>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</si>
  <si>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</si>
  <si>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</si>
  <si>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</si>
  <si>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</si>
  <si>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</si>
  <si>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</si>
  <si>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</si>
  <si>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</si>
  <si>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</si>
  <si>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</si>
  <si>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</si>
  <si>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</si>
  <si>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</si>
  <si>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</si>
  <si>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</si>
  <si>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</si>
  <si>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</si>
  <si>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</si>
  <si>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</si>
  <si>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</si>
  <si>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</si>
  <si>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</si>
  <si>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</si>
  <si>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</si>
  <si>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</si>
  <si>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</si>
  <si>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</si>
  <si>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</si>
  <si>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</si>
  <si>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</si>
  <si>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</si>
  <si>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</si>
  <si>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</si>
  <si>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</si>
  <si>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</si>
  <si>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</si>
  <si>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</si>
  <si>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</si>
  <si>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</si>
  <si>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</si>
  <si>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</si>
  <si>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</si>
  <si>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</si>
  <si>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</si>
  <si>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</si>
  <si>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</si>
  <si>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</si>
  <si>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</si>
  <si>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</si>
  <si>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</si>
  <si>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</si>
  <si>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</si>
  <si>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</si>
  <si>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</si>
  <si>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</si>
  <si>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</si>
  <si>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</si>
  <si>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</si>
  <si>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</si>
  <si>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</si>
  <si>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</si>
  <si>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</si>
  <si>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</si>
  <si>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</si>
  <si>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</si>
  <si>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</si>
  <si>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</si>
  <si>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</si>
  <si>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</si>
  <si>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</si>
  <si>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</si>
  <si>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</si>
  <si>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</si>
  <si>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</si>
  <si>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</si>
  <si>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</si>
  <si>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</si>
  <si>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</si>
  <si>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</si>
  <si>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</si>
  <si>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</si>
  <si>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</si>
  <si>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</si>
  <si>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</si>
  <si>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</si>
  <si>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</si>
  <si>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</si>
  <si>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</si>
  <si>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</si>
  <si>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</si>
  <si>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</si>
  <si>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</si>
  <si>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</si>
  <si>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</si>
  <si>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</si>
  <si>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</si>
  <si>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</si>
  <si>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</si>
  <si>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</si>
  <si>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</si>
  <si>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</si>
  <si>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</si>
  <si>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</si>
  <si>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</si>
  <si>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</si>
  <si>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</si>
  <si>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</si>
  <si>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</si>
  <si>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</si>
  <si>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</si>
  <si>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</si>
  <si>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</si>
  <si>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</si>
  <si>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</si>
  <si>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</si>
  <si>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</si>
  <si>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</si>
  <si>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</si>
  <si>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</si>
  <si>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</si>
  <si>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</si>
  <si>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</si>
  <si>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</si>
  <si>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</si>
  <si>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</si>
  <si>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</si>
  <si>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</si>
  <si>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</si>
  <si>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</si>
  <si>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</si>
  <si>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</si>
  <si>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</si>
  <si>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</si>
  <si>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</si>
  <si>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</si>
  <si>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</si>
  <si>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</si>
  <si>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</si>
  <si>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</si>
  <si>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</si>
  <si>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</si>
  <si>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</si>
  <si>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</si>
  <si>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</si>
  <si>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</si>
  <si>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</si>
  <si>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</si>
  <si>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</si>
  <si>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</si>
  <si>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</si>
  <si>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</si>
  <si>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</si>
  <si>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</si>
  <si>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</si>
  <si>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</si>
  <si>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</si>
  <si>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</si>
  <si>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</si>
  <si>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</si>
  <si>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</si>
  <si>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</si>
  <si>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</si>
  <si>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</si>
  <si>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</si>
  <si>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</si>
  <si>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</si>
  <si>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</si>
  <si>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</si>
  <si>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</si>
  <si>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</si>
  <si>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</si>
  <si>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</si>
  <si>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</si>
  <si>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</si>
  <si>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</si>
  <si>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</si>
  <si>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</si>
  <si>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</si>
  <si>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</si>
  <si>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</si>
  <si>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</si>
  <si>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</si>
  <si>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</si>
  <si>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</si>
  <si>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</si>
  <si>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</si>
  <si>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</si>
  <si>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</si>
  <si>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</si>
  <si>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</si>
  <si>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</si>
  <si>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</si>
  <si>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</si>
  <si>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</si>
  <si>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</si>
  <si>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</si>
  <si>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</si>
  <si>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</si>
  <si>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</si>
  <si>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</si>
  <si>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</si>
  <si>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</si>
  <si>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</si>
  <si>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</si>
  <si>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</si>
  <si>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</si>
  <si>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</si>
  <si>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</si>
  <si>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</si>
  <si>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</si>
  <si>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</si>
  <si>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</si>
  <si>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</si>
  <si>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</si>
  <si>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</si>
  <si>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</si>
  <si>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</si>
  <si>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</si>
  <si>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</si>
  <si>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</si>
  <si>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</si>
  <si>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</si>
  <si>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</si>
  <si>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</si>
  <si>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</si>
  <si>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</si>
  <si>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</si>
  <si>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</si>
  <si>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</si>
  <si>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</si>
  <si>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</si>
  <si>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</si>
  <si>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</si>
  <si>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</si>
  <si>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</si>
  <si>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</si>
  <si>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</si>
  <si>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</si>
  <si>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</si>
  <si>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</si>
  <si>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</si>
  <si>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</si>
  <si>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</si>
  <si>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</si>
  <si>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</si>
  <si>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</si>
  <si>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</si>
  <si>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</si>
  <si>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</si>
  <si>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</si>
  <si>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</si>
  <si>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</si>
  <si>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</si>
  <si>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</si>
  <si>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</si>
  <si>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</si>
  <si>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</si>
  <si>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</si>
  <si>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</si>
  <si>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</si>
  <si>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</si>
  <si>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</si>
  <si>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</si>
  <si>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</si>
  <si>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</si>
  <si>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</si>
  <si>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</si>
  <si>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</si>
  <si>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</si>
  <si>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</si>
  <si>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</si>
  <si>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</si>
  <si>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</si>
  <si>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</si>
  <si>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</si>
  <si>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</si>
  <si>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</si>
  <si>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</si>
  <si>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</si>
  <si>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</si>
  <si>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</si>
  <si>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</si>
  <si>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</si>
  <si>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</si>
  <si>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</si>
  <si>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</si>
  <si>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</si>
  <si>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</si>
  <si>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</si>
  <si>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</si>
  <si>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</si>
  <si>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</si>
  <si>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</si>
  <si>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</si>
  <si>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</si>
  <si>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</si>
  <si>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</si>
  <si>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</si>
  <si>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</si>
  <si>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</si>
  <si>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</si>
  <si>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</si>
  <si>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</si>
  <si>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</si>
  <si>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</si>
  <si>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</si>
  <si>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</si>
  <si>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</si>
  <si>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</si>
  <si>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</si>
  <si>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</si>
  <si>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</si>
  <si>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</si>
  <si>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</si>
  <si>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</si>
  <si>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</si>
  <si>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</si>
  <si>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</si>
  <si>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</si>
  <si>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</si>
  <si>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</si>
  <si>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</si>
  <si>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</si>
  <si>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</si>
  <si>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</si>
  <si>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</si>
  <si>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</si>
  <si>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</si>
  <si>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</si>
  <si>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</si>
  <si>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</si>
  <si>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</si>
  <si>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</si>
  <si>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</si>
  <si>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</si>
  <si>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</si>
  <si>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</si>
  <si>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</si>
  <si>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</si>
  <si>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</si>
  <si>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</si>
  <si>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</si>
  <si>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</si>
  <si>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</si>
  <si>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</si>
  <si>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</si>
  <si>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</si>
  <si>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</si>
  <si>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</si>
  <si>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</si>
  <si>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</si>
  <si>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</si>
  <si>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</si>
  <si>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</si>
  <si>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</si>
  <si>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</si>
  <si>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</si>
  <si>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</si>
  <si>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</si>
  <si>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</si>
  <si>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</si>
  <si>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</si>
  <si>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</si>
  <si>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</si>
  <si>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</si>
  <si>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</si>
  <si>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</si>
  <si>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</si>
  <si>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</si>
  <si>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</si>
  <si>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</si>
  <si>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</si>
  <si>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</si>
  <si>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</si>
  <si>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</si>
  <si>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</si>
  <si>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</si>
  <si>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</si>
  <si>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</si>
  <si>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</si>
  <si>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</si>
  <si>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</si>
  <si>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</si>
  <si>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</si>
  <si>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</si>
  <si>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</si>
  <si>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</si>
  <si>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</si>
  <si>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</si>
  <si>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</si>
  <si>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</si>
  <si>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</si>
  <si>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</si>
  <si>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</si>
  <si>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</si>
  <si>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</si>
  <si>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</si>
  <si>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</si>
  <si>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</si>
  <si>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</si>
  <si>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</si>
  <si>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</si>
  <si>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</si>
  <si>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</si>
  <si>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</si>
  <si>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</si>
  <si>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</si>
  <si>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</si>
  <si>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</si>
  <si>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</si>
  <si>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</si>
  <si>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</si>
  <si>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</si>
  <si>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</si>
  <si>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</si>
  <si>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</si>
  <si>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</si>
  <si>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</si>
  <si>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</si>
  <si>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</si>
  <si>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</si>
  <si>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</si>
  <si>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</si>
  <si>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</si>
  <si>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</si>
  <si>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</si>
  <si>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</si>
  <si>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</si>
  <si>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</si>
  <si>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</si>
  <si>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</si>
  <si>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</si>
  <si>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</si>
  <si>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</si>
  <si>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</si>
  <si>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</si>
  <si>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</si>
  <si>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</si>
  <si>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</si>
  <si>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</si>
  <si>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</si>
  <si>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</si>
  <si>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</si>
  <si>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</si>
  <si>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</si>
  <si>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</si>
  <si>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</si>
  <si>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</si>
  <si>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</si>
  <si>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</si>
  <si>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</si>
  <si>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</si>
  <si>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</si>
  <si>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</si>
  <si>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</si>
  <si>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</si>
  <si>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</si>
  <si>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</si>
  <si>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</si>
  <si>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</si>
  <si>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</si>
  <si>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</si>
  <si>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</si>
  <si>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</si>
  <si>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</si>
  <si>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</si>
  <si>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</si>
  <si>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</si>
  <si>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</si>
  <si>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</si>
  <si>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</si>
  <si>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</si>
  <si>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</si>
  <si>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</si>
  <si>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</si>
  <si>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</si>
  <si>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</si>
  <si>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</si>
  <si>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</si>
  <si>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</si>
  <si>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</si>
  <si>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</si>
  <si>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</si>
  <si>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</si>
  <si>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</si>
  <si>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</si>
  <si>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</si>
  <si>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</si>
  <si>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</si>
  <si>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</si>
  <si>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</si>
  <si>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</si>
  <si>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</si>
  <si>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</si>
  <si>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</si>
  <si>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</si>
  <si>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</si>
  <si>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</si>
  <si>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</si>
  <si>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</si>
  <si>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</si>
  <si>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</si>
  <si>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</si>
  <si>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</si>
  <si>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</si>
  <si>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</si>
  <si>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</si>
  <si>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</si>
  <si>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</si>
  <si>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</si>
  <si>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</si>
  <si>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</si>
  <si>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</si>
  <si>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</si>
  <si>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</si>
  <si>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</si>
  <si>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</si>
  <si>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</si>
  <si>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</si>
  <si>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</si>
  <si>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</si>
  <si>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</si>
  <si>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</si>
  <si>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</si>
  <si>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</si>
  <si>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</si>
  <si>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</si>
  <si>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</si>
  <si>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</si>
  <si>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</si>
  <si>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</si>
  <si>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</si>
  <si>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</si>
  <si>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</si>
  <si>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</si>
  <si>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</si>
  <si>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</si>
  <si>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</si>
  <si>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</si>
  <si>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</si>
  <si>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</si>
  <si>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</si>
  <si>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</si>
  <si>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</si>
  <si>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</si>
  <si>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</si>
  <si>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</si>
  <si>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</si>
  <si>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</si>
  <si>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</si>
  <si>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</si>
  <si>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</si>
  <si>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</si>
  <si>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</si>
  <si>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</si>
  <si>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</si>
  <si>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</si>
  <si>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</si>
  <si>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</si>
  <si>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</si>
  <si>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</si>
  <si>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</si>
  <si>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</si>
  <si>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</si>
  <si>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</si>
  <si>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</si>
  <si>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</si>
  <si>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</si>
  <si>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</si>
  <si>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</si>
  <si>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</si>
  <si>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</si>
  <si>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</si>
  <si>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</si>
  <si>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</si>
  <si>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</si>
  <si>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</si>
  <si>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</si>
  <si>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</si>
  <si>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</si>
  <si>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</si>
  <si>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</si>
  <si>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</si>
  <si>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</si>
  <si>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</si>
  <si>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</si>
  <si>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</si>
  <si>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</si>
  <si>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</si>
  <si>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</si>
  <si>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</si>
  <si>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</si>
  <si>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</si>
  <si>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</si>
  <si>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</si>
  <si>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</si>
  <si>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</si>
  <si>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</si>
  <si>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</si>
  <si>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</si>
  <si>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</si>
  <si>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</si>
  <si>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</si>
  <si>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</si>
  <si>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</si>
  <si>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</si>
  <si>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</si>
  <si>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</si>
  <si>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</si>
  <si>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</si>
  <si>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</si>
  <si>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</si>
  <si>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</si>
  <si>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</si>
  <si>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</si>
  <si>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</si>
  <si>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</si>
  <si>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</si>
  <si>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</si>
  <si>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</si>
  <si>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</si>
  <si>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</si>
  <si>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</si>
  <si>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</si>
  <si>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</si>
  <si>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</si>
  <si>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</si>
  <si>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</si>
  <si>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</si>
  <si>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</si>
  <si>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</si>
  <si>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</si>
  <si>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</si>
  <si>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</si>
  <si>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</si>
  <si>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</si>
  <si>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</si>
  <si>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</si>
  <si>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</si>
  <si>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</si>
  <si>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</si>
  <si>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</si>
  <si>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</si>
  <si>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</si>
  <si>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</si>
  <si>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</si>
  <si>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</si>
  <si>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</si>
  <si>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</si>
  <si>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</si>
  <si>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</si>
  <si>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</si>
  <si>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</si>
  <si>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</si>
  <si>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</si>
  <si>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</si>
  <si>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</si>
  <si>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</si>
  <si>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</si>
  <si>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</si>
  <si>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</si>
  <si>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</si>
  <si>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</si>
  <si>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</si>
  <si>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</si>
  <si>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</si>
  <si>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</si>
  <si>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</si>
  <si>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</si>
  <si>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</si>
  <si>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</si>
  <si>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</si>
  <si>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</si>
  <si>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</si>
  <si>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</si>
  <si>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</si>
  <si>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</si>
  <si>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</si>
  <si>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</si>
  <si>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</si>
  <si>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</si>
  <si>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</si>
  <si>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</si>
  <si>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</si>
  <si>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</si>
  <si>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</si>
  <si>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</si>
  <si>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</si>
  <si>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</si>
  <si>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</si>
  <si>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</si>
  <si>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</si>
  <si>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</si>
  <si>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</si>
  <si>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</si>
  <si>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</si>
  <si>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</si>
  <si>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</si>
  <si>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</si>
  <si>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</si>
  <si>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</si>
  <si>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</si>
  <si>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</si>
  <si>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</si>
  <si>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</si>
  <si>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</si>
  <si>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</si>
  <si>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</si>
  <si>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</si>
  <si>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</si>
  <si>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</si>
  <si>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</si>
  <si>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</si>
  <si>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</si>
  <si>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</si>
  <si>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</si>
  <si>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</si>
  <si>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</si>
  <si>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</si>
  <si>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</si>
  <si>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</si>
  <si>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</si>
  <si>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</si>
  <si>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</si>
  <si>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</si>
  <si>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</si>
  <si>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</si>
  <si>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</si>
  <si>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</si>
  <si>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</si>
  <si>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</si>
  <si>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</si>
  <si>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</si>
  <si>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</si>
  <si>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</si>
  <si>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</si>
  <si>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</si>
  <si>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</si>
  <si>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</si>
  <si>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</si>
  <si>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</si>
  <si>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</si>
  <si>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</si>
  <si>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</si>
  <si>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</si>
  <si>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</si>
  <si>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</si>
  <si>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</si>
  <si>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</si>
  <si>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</si>
  <si>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</si>
  <si>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</si>
  <si>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</si>
  <si>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</si>
  <si>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</si>
  <si>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</si>
  <si>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</si>
  <si>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</si>
  <si>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</si>
  <si>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</si>
  <si>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</si>
  <si>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</si>
  <si>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</si>
  <si>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</si>
  <si>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</si>
  <si>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</si>
  <si>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</si>
  <si>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</si>
  <si>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</si>
  <si>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</si>
  <si>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</si>
  <si>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</si>
  <si>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</si>
  <si>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</si>
  <si>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</si>
  <si>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</si>
  <si>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</si>
  <si>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</si>
  <si>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</si>
  <si>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</si>
  <si>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</si>
  <si>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</si>
  <si>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</si>
  <si>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</si>
  <si>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</si>
  <si>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</si>
  <si>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</si>
  <si>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</si>
  <si>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</si>
  <si>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</si>
  <si>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</si>
  <si>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</si>
  <si>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</si>
  <si>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</si>
  <si>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</si>
  <si>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</si>
  <si>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</si>
  <si>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</si>
  <si>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</si>
  <si>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</si>
  <si>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</si>
  <si>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</si>
  <si>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</si>
  <si>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</si>
  <si>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</si>
  <si>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</si>
  <si>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</si>
  <si>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</si>
  <si>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</si>
  <si>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</si>
  <si>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</si>
  <si>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</si>
  <si>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</si>
  <si>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</si>
  <si>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</si>
  <si>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</si>
  <si>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</si>
  <si>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</si>
  <si>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</si>
  <si>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</si>
  <si>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</si>
  <si>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</si>
  <si>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</si>
  <si>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</si>
  <si>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</si>
  <si>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</si>
  <si>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</si>
  <si>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</si>
  <si>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</si>
  <si>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</si>
  <si>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</si>
  <si>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</si>
  <si>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</si>
  <si>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</si>
  <si>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</si>
  <si>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</si>
  <si>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</si>
  <si>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</si>
  <si>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</si>
  <si>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</si>
  <si>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</si>
  <si>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</si>
  <si>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</si>
  <si>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</si>
  <si>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</si>
  <si>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</si>
  <si>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</si>
  <si>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</si>
  <si>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</si>
  <si>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</si>
  <si>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</si>
  <si>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</si>
  <si>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</si>
  <si>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</si>
  <si>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</si>
  <si>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</si>
  <si>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</si>
  <si>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</si>
  <si>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</si>
  <si>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</si>
  <si>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</si>
  <si>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</si>
  <si>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</si>
  <si>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</si>
  <si>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</si>
  <si>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</si>
  <si>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</si>
  <si>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</si>
  <si>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</si>
  <si>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</si>
  <si>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</si>
  <si>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</si>
  <si>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</si>
  <si>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</si>
  <si>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</si>
  <si>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</si>
  <si>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</si>
  <si>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</si>
  <si>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</si>
  <si>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</si>
  <si>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</si>
  <si>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</si>
  <si>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</si>
  <si>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</si>
  <si>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</si>
  <si>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</si>
  <si>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</si>
  <si>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</si>
  <si>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</si>
  <si>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</si>
  <si>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</si>
  <si>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</si>
  <si>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</si>
  <si>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</si>
  <si>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</si>
  <si>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</si>
  <si>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</si>
  <si>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</si>
  <si>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</si>
  <si>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</si>
  <si>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</si>
  <si>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</si>
  <si>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</si>
  <si>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</si>
  <si>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</si>
  <si>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</si>
  <si>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</si>
  <si>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</si>
  <si>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</si>
  <si>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</si>
  <si>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</si>
  <si>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</si>
  <si>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</si>
  <si>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</si>
  <si>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</si>
  <si>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</si>
  <si>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</si>
  <si>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</si>
  <si>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</si>
  <si>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</si>
  <si>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</si>
  <si>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</si>
  <si>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</si>
  <si>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</si>
  <si>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</si>
  <si>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</si>
  <si>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</si>
  <si>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</si>
  <si>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</si>
  <si>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</si>
  <si>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</si>
  <si>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</si>
  <si>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</si>
  <si>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</si>
  <si>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</si>
  <si>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</si>
  <si>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</si>
  <si>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</si>
  <si>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</si>
  <si>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</si>
  <si>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</si>
  <si>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</si>
  <si>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</si>
  <si>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</si>
  <si>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</si>
  <si>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</si>
  <si>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</si>
  <si>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</si>
  <si>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</si>
  <si>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</si>
  <si>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</si>
  <si>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</si>
  <si>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</si>
  <si>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</si>
  <si>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</si>
  <si>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</si>
  <si>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</si>
  <si>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</si>
  <si>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</si>
  <si>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</si>
  <si>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</si>
  <si>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</si>
  <si>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</si>
  <si>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</si>
  <si>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</si>
  <si>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</si>
  <si>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</si>
  <si>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</si>
  <si>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</si>
  <si>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</si>
  <si>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</si>
  <si>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</si>
  <si>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</si>
  <si>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</si>
  <si>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</si>
  <si>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</si>
  <si>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</si>
  <si>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</si>
  <si>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</si>
  <si>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</si>
  <si>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</si>
  <si>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</si>
  <si>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</si>
  <si>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</si>
  <si>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</si>
  <si>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</si>
  <si>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</si>
  <si>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</si>
  <si>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</si>
  <si>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</si>
  <si>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</si>
  <si>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</si>
  <si>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</si>
  <si>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</si>
  <si>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</si>
  <si>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</si>
  <si>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</si>
  <si>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</si>
  <si>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</si>
  <si>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</si>
  <si>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</si>
  <si>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</si>
  <si>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</si>
  <si>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</si>
  <si>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</si>
  <si>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</si>
  <si>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</si>
  <si>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</si>
  <si>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</si>
  <si>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</si>
  <si>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</si>
  <si>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</si>
  <si>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</si>
  <si>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</si>
  <si>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</si>
  <si>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</si>
  <si>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</si>
  <si>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</si>
  <si>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</si>
  <si>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</si>
  <si>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</si>
  <si>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</si>
  <si>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</si>
  <si>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</si>
  <si>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</si>
  <si>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</si>
  <si>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</si>
  <si>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</si>
  <si>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</si>
  <si>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</si>
  <si>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</si>
  <si>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</si>
  <si>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</si>
  <si>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</si>
  <si>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</si>
  <si>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</si>
  <si>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</si>
  <si>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</si>
  <si>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</si>
  <si>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</si>
  <si>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</si>
  <si>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</si>
  <si>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</si>
  <si>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</si>
  <si>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</si>
  <si>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</si>
  <si>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</si>
  <si>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</si>
  <si>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</si>
  <si>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</si>
  <si>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</si>
  <si>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</si>
  <si>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</si>
  <si>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</si>
  <si>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</si>
  <si>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</si>
  <si>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</si>
  <si>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</si>
  <si>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</si>
  <si>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</si>
  <si>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</si>
  <si>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</si>
  <si>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</si>
  <si>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</si>
  <si>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</si>
  <si>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</si>
  <si>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</si>
  <si>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</si>
  <si>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</si>
  <si>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</si>
  <si>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</si>
  <si>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</si>
  <si>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</si>
  <si>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</si>
  <si>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</si>
  <si>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</si>
  <si>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</si>
  <si>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</si>
  <si>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</si>
  <si>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</si>
  <si>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</si>
  <si>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</si>
  <si>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</si>
  <si>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</si>
  <si>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</si>
  <si>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</si>
  <si>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</si>
  <si>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</si>
  <si>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</si>
  <si>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</si>
  <si>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</si>
  <si>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</si>
  <si>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</si>
  <si>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</si>
  <si>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</si>
  <si>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</si>
  <si>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</si>
  <si>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</si>
  <si>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</si>
  <si>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</si>
  <si>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</si>
  <si>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</si>
  <si>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</si>
  <si>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</si>
  <si>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</si>
  <si>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</si>
  <si>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</si>
  <si>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</si>
  <si>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</si>
  <si>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</si>
  <si>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</si>
  <si>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</si>
  <si>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</si>
  <si>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</si>
  <si>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</si>
  <si>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</si>
  <si>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</si>
  <si>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</si>
  <si>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</si>
  <si>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</si>
  <si>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</si>
  <si>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</si>
  <si>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</si>
  <si>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</si>
  <si>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</si>
  <si>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</si>
  <si>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</si>
  <si>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</si>
  <si>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</si>
  <si>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</si>
  <si>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</si>
  <si>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</si>
  <si>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</si>
  <si>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</si>
  <si>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</si>
  <si>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</si>
  <si>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</si>
  <si>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</si>
  <si>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</si>
  <si>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</si>
  <si>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</si>
  <si>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</si>
  <si>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</si>
  <si>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</si>
  <si>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</si>
  <si>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</si>
  <si>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</si>
  <si>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</si>
  <si>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</si>
  <si>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</si>
  <si>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</si>
  <si>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</si>
  <si>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</si>
  <si>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</si>
  <si>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</si>
  <si>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</si>
  <si>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</si>
  <si>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</si>
  <si>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</si>
  <si>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</si>
  <si>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</si>
  <si>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</si>
  <si>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</si>
  <si>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</si>
  <si>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</si>
  <si>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</si>
  <si>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</si>
  <si>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</si>
  <si>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</si>
  <si>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</si>
  <si>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</si>
  <si>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</si>
  <si>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</si>
  <si>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</si>
  <si>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</si>
  <si>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</si>
  <si>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</si>
  <si>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</si>
  <si>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</si>
  <si>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</si>
  <si>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</si>
  <si>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</si>
  <si>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</si>
  <si>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</si>
  <si>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</si>
  <si>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</si>
  <si>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</si>
  <si>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</si>
  <si>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</si>
  <si>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</si>
  <si>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</si>
  <si>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</si>
  <si>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</si>
  <si>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</si>
  <si>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</si>
  <si>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</si>
  <si>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</si>
  <si>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</si>
  <si>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</si>
  <si>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</si>
  <si>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</si>
  <si>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</si>
  <si>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</si>
  <si>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</si>
  <si>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</si>
  <si>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</si>
  <si>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</si>
  <si>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</si>
  <si>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</si>
  <si>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</si>
  <si>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</si>
  <si>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</si>
  <si>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</si>
  <si>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</si>
  <si>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</si>
  <si>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</si>
  <si>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</si>
  <si>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</si>
  <si>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</si>
  <si>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</si>
  <si>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</si>
  <si>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</si>
  <si>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</si>
  <si>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</si>
  <si>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</si>
  <si>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</si>
  <si>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</si>
  <si>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</si>
  <si>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</si>
  <si>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</si>
  <si>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</si>
  <si>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</si>
  <si>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</si>
  <si>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</si>
  <si>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</si>
  <si>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</si>
  <si>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</si>
  <si>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</si>
  <si>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</si>
  <si>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</si>
  <si>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</si>
  <si>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</si>
  <si>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</si>
  <si>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</si>
  <si>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</si>
  <si>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</si>
  <si>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</si>
  <si>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</si>
  <si>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</si>
  <si>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</si>
  <si>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</si>
  <si>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</si>
  <si>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</si>
  <si>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</si>
  <si>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</si>
  <si>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</si>
  <si>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</si>
  <si>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</si>
  <si>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</si>
  <si>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</si>
  <si>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</si>
  <si>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</si>
  <si>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</si>
  <si>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</si>
  <si>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</si>
  <si>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</si>
  <si>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</si>
  <si>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</si>
  <si>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</si>
  <si>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</si>
  <si>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</si>
  <si>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</si>
  <si>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</si>
  <si>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</si>
  <si>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</si>
  <si>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</si>
  <si>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</si>
  <si>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</si>
  <si>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</si>
  <si>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</si>
  <si>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</si>
  <si>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</si>
  <si>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</si>
  <si>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</si>
  <si>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</si>
  <si>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</si>
  <si>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</si>
  <si>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</si>
  <si>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</si>
  <si>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</si>
  <si>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</si>
  <si>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</si>
  <si>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</si>
  <si>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</si>
  <si>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</si>
  <si>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</si>
  <si>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</si>
  <si>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</si>
  <si>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</si>
  <si>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</si>
  <si>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</si>
  <si>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</si>
  <si>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</si>
  <si>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</si>
  <si>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</si>
  <si>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</si>
  <si>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</si>
  <si>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</si>
  <si>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</si>
  <si>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</si>
  <si>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</si>
  <si>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</si>
  <si>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</si>
  <si>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</si>
  <si>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</si>
  <si>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</si>
  <si>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</si>
  <si>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</si>
  <si>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</si>
  <si>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</si>
  <si>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</si>
  <si>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</si>
  <si>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</si>
  <si>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</si>
  <si>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</si>
  <si>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</si>
  <si>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</si>
  <si>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</si>
  <si>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</si>
  <si>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</si>
  <si>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</si>
  <si>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</si>
  <si>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</si>
  <si>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</si>
  <si>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</si>
  <si>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</si>
  <si>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</si>
  <si>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</si>
  <si>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</si>
  <si>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</si>
  <si>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</si>
  <si>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</si>
  <si>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</si>
  <si>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</si>
  <si>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</si>
  <si>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</si>
  <si>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</si>
  <si>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</si>
  <si>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</si>
  <si>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</si>
  <si>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</si>
  <si>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</si>
  <si>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</si>
  <si>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</si>
  <si>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</si>
  <si>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</si>
  <si>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</si>
  <si>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</si>
  <si>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</si>
  <si>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</si>
  <si>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</si>
  <si>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</si>
  <si>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</si>
  <si>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</si>
  <si>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</si>
  <si>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</si>
  <si>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</si>
  <si>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</si>
  <si>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</si>
  <si>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</si>
  <si>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</si>
  <si>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</si>
  <si>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</si>
  <si>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</si>
  <si>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</si>
  <si>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</si>
  <si>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</si>
  <si>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</si>
  <si>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</si>
  <si>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</si>
  <si>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</si>
  <si>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</si>
  <si>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</si>
  <si>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</si>
  <si>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</si>
  <si>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</si>
  <si>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</si>
  <si>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</si>
  <si>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</si>
  <si>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</si>
  <si>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</si>
  <si>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</si>
  <si>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</si>
  <si>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</si>
  <si>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</si>
  <si>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</si>
  <si>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</si>
  <si>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</si>
  <si>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</si>
  <si>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</si>
  <si>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</si>
  <si>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</si>
  <si>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</si>
  <si>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</si>
  <si>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</si>
  <si>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</si>
  <si>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</si>
  <si>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</si>
  <si>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</si>
  <si>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</si>
  <si>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</si>
  <si>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</si>
  <si>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</si>
  <si>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</si>
  <si>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</si>
  <si>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</si>
  <si>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</si>
  <si>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</si>
  <si>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</si>
  <si>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</si>
  <si>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</si>
  <si>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</si>
  <si>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</si>
  <si>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</si>
  <si>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</si>
  <si>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</si>
  <si>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</si>
  <si>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</si>
  <si>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</si>
  <si>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</si>
  <si>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</si>
  <si>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</si>
  <si>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</si>
  <si>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</si>
  <si>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</si>
  <si>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</si>
  <si>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</si>
  <si>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</si>
  <si>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</si>
  <si>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</si>
  <si>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</si>
  <si>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</si>
  <si>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</si>
  <si>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</si>
  <si>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</si>
  <si>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</si>
  <si>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</si>
  <si>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</si>
  <si>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</si>
  <si>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</si>
  <si>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</si>
  <si>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</si>
  <si>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</si>
  <si>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</si>
  <si>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</si>
  <si>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</si>
  <si>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</si>
  <si>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</si>
  <si>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</si>
  <si>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</si>
  <si>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</si>
  <si>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</si>
  <si>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</si>
  <si>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</si>
  <si>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</si>
  <si>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</si>
  <si>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</si>
  <si>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</si>
  <si>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</si>
  <si>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</si>
  <si>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</si>
  <si>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</si>
  <si>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</si>
  <si>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</si>
  <si>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</si>
  <si>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</si>
  <si>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</si>
  <si>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</si>
  <si>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</si>
  <si>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</si>
  <si>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</si>
  <si>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</si>
  <si>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</si>
  <si>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</si>
  <si>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</si>
  <si>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</si>
  <si>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</si>
  <si>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</si>
  <si>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</si>
  <si>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</si>
  <si>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</si>
  <si>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</si>
  <si>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</si>
  <si>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</si>
  <si>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</si>
  <si>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</si>
  <si>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</si>
  <si>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</si>
  <si>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</si>
  <si>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</si>
  <si>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</si>
  <si>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</si>
  <si>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</si>
  <si>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</si>
  <si>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</si>
  <si>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</si>
  <si>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</si>
  <si>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</si>
  <si>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</si>
  <si>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</si>
  <si>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</si>
  <si>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</si>
  <si>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</si>
  <si>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</si>
  <si>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</si>
  <si>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</si>
  <si>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</si>
  <si>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</si>
  <si>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</si>
  <si>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</si>
  <si>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</si>
  <si>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</si>
  <si>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</si>
  <si>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</si>
  <si>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</si>
  <si>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</si>
  <si>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</si>
  <si>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</si>
  <si>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</si>
  <si>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</si>
  <si>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</si>
  <si>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</si>
  <si>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</si>
  <si>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</si>
  <si>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</si>
  <si>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</si>
  <si>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</si>
  <si>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</si>
  <si>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</si>
  <si>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</si>
  <si>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</si>
  <si>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</si>
  <si>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</si>
  <si>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</si>
  <si>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</si>
  <si>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</si>
  <si>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</si>
  <si>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</si>
  <si>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</si>
  <si>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</si>
  <si>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</si>
  <si>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</si>
  <si>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</si>
  <si>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</si>
  <si>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</si>
  <si>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</si>
  <si>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</si>
  <si>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</si>
  <si>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</si>
  <si>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</si>
  <si>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</si>
  <si>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</si>
  <si>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</si>
  <si>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</si>
  <si>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</si>
  <si>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</si>
  <si>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</si>
  <si>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</si>
  <si>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</si>
  <si>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</si>
  <si>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</si>
  <si>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</si>
  <si>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</si>
  <si>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</si>
  <si>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</si>
  <si>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</si>
  <si>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</si>
  <si>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</si>
  <si>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</si>
  <si>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</si>
  <si>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</si>
  <si>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</si>
  <si>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</si>
  <si>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</si>
  <si>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</si>
  <si>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</si>
  <si>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</si>
  <si>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</si>
  <si>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</si>
  <si>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</si>
  <si>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</si>
  <si>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</si>
  <si>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</si>
  <si>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</si>
  <si>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</si>
  <si>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</si>
  <si>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</si>
  <si>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</si>
  <si>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</si>
  <si>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</si>
  <si>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</si>
  <si>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</si>
  <si>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</si>
  <si>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</si>
  <si>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</si>
  <si>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</si>
  <si>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</si>
  <si>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</si>
  <si>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</si>
  <si>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</si>
  <si>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</si>
  <si>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</si>
  <si>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</si>
  <si>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</si>
  <si>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</si>
  <si>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</si>
  <si>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</si>
  <si>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</si>
  <si>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</si>
  <si>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</si>
  <si>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</si>
  <si>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</si>
  <si>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</si>
  <si>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</si>
  <si>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</si>
  <si>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</si>
  <si>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</si>
  <si>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</si>
  <si>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</si>
  <si>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</si>
  <si>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</si>
  <si>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</si>
  <si>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</si>
  <si>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</si>
  <si>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</si>
  <si>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</si>
  <si>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</si>
  <si>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</si>
  <si>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</si>
  <si>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</si>
  <si>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</si>
  <si>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</si>
  <si>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</si>
  <si>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</si>
  <si>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</si>
  <si>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</si>
  <si>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</si>
  <si>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</si>
  <si>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</si>
  <si>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</si>
  <si>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</si>
  <si>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</si>
  <si>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</si>
  <si>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</si>
  <si>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</si>
  <si>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</si>
  <si>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</si>
  <si>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</si>
  <si>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</si>
  <si>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</si>
  <si>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</si>
  <si>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</si>
  <si>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</si>
  <si>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</si>
  <si>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</si>
  <si>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</si>
  <si>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</si>
  <si>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</si>
  <si>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</si>
  <si>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</si>
  <si>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</si>
  <si>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</si>
  <si>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</si>
  <si>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</si>
  <si>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</si>
  <si>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</si>
  <si>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</si>
  <si>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</si>
  <si>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</si>
  <si>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</si>
  <si>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</si>
  <si>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</si>
  <si>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</si>
  <si>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</si>
  <si>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</si>
  <si>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</si>
  <si>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</si>
  <si>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</si>
  <si>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</si>
  <si>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</si>
  <si>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</si>
  <si>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</si>
  <si>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</si>
  <si>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</si>
  <si>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</si>
  <si>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</si>
  <si>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</si>
  <si>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</si>
  <si>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</si>
  <si>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</si>
  <si>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</si>
  <si>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</si>
  <si>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</si>
  <si>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</si>
  <si>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</si>
  <si>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</si>
  <si>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</si>
  <si>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</si>
  <si>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</si>
  <si>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</si>
  <si>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</si>
  <si>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</si>
  <si>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</si>
  <si>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</si>
  <si>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</si>
  <si>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</si>
  <si>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</si>
  <si>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</si>
  <si>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</si>
  <si>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</si>
  <si>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</si>
  <si>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</si>
  <si>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</si>
  <si>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</si>
  <si>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</si>
  <si>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</si>
  <si>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</si>
  <si>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</si>
  <si>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</si>
  <si>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</si>
  <si>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</si>
  <si>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</si>
  <si>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</si>
  <si>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</si>
  <si>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</si>
  <si>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</si>
  <si>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</si>
  <si>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</si>
  <si>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</si>
  <si>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</si>
  <si>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</si>
  <si>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</si>
  <si>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</si>
  <si>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</si>
  <si>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</si>
  <si>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</si>
  <si>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</si>
  <si>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</si>
  <si>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</si>
  <si>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</si>
  <si>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</si>
  <si>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</si>
  <si>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</si>
  <si>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</si>
  <si>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</si>
  <si>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</si>
  <si>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</si>
  <si>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</si>
  <si>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</si>
  <si>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</si>
  <si>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</si>
  <si>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</si>
  <si>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</si>
  <si>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</si>
  <si>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</si>
  <si>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</si>
  <si>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</si>
  <si>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</si>
  <si>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</si>
  <si>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</si>
  <si>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</si>
  <si>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</si>
  <si>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</si>
  <si>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</si>
  <si>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</si>
  <si>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</si>
  <si>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</si>
  <si>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</si>
  <si>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</si>
  <si>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</si>
  <si>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</si>
  <si>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</si>
  <si>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</si>
  <si>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</si>
  <si>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</si>
  <si>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</si>
  <si>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</si>
  <si>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</si>
  <si>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</si>
  <si>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</si>
  <si>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</si>
  <si>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</si>
  <si>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</si>
  <si>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</si>
  <si>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</si>
  <si>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</si>
  <si>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</si>
  <si>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</si>
  <si>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</si>
  <si>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</si>
  <si>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</si>
  <si>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</si>
  <si>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</si>
  <si>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</si>
  <si>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</si>
  <si>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</si>
  <si>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</si>
  <si>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</si>
  <si>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</si>
  <si>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</si>
  <si>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</si>
  <si>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</si>
  <si>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</si>
  <si>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</si>
  <si>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</si>
  <si>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</si>
  <si>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</si>
  <si>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</si>
  <si>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</si>
  <si>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</si>
  <si>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</si>
  <si>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</si>
  <si>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</si>
  <si>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</si>
  <si>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</si>
  <si>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</si>
  <si>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</si>
  <si>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</si>
  <si>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</si>
  <si>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</si>
  <si>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</si>
  <si>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</si>
  <si>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</si>
  <si>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</si>
  <si>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</si>
  <si>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</si>
  <si>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</si>
  <si>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</si>
  <si>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</si>
  <si>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</si>
  <si>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</si>
  <si>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</si>
  <si>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</si>
  <si>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</si>
  <si>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</si>
  <si>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</si>
  <si>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</si>
  <si>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</si>
  <si>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</si>
  <si>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</si>
  <si>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</si>
  <si>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</si>
  <si>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</si>
  <si>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</si>
  <si>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</si>
  <si>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</si>
  <si>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</si>
  <si>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</si>
  <si>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</si>
  <si>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</si>
  <si>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</si>
  <si>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</si>
  <si>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</si>
  <si>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</si>
  <si>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</si>
  <si>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</si>
  <si>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</si>
  <si>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</si>
  <si>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</si>
  <si>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</si>
  <si>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</si>
  <si>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</si>
  <si>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</si>
  <si>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</si>
  <si>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</si>
  <si>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</si>
  <si>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</si>
  <si>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</si>
  <si>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</si>
  <si>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</si>
  <si>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</si>
  <si>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</si>
  <si>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</si>
  <si>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</si>
  <si>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</si>
  <si>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</si>
  <si>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</si>
  <si>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</si>
  <si>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</si>
  <si>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</si>
  <si>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</si>
  <si>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</si>
  <si>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</si>
  <si>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</si>
  <si>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</si>
  <si>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</si>
  <si>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</si>
  <si>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</si>
  <si>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</si>
  <si>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</si>
  <si>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</si>
  <si>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</si>
  <si>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</si>
  <si>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</si>
  <si>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</si>
  <si>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</si>
  <si>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</si>
  <si>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</si>
  <si>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</si>
  <si>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</si>
  <si>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</si>
  <si>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</si>
  <si>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</si>
  <si>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</si>
  <si>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</si>
  <si>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</si>
  <si>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</si>
  <si>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</si>
  <si>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</si>
  <si>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</si>
  <si>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</si>
  <si>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</si>
  <si>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</si>
  <si>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</si>
  <si>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</si>
  <si>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</si>
  <si>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</si>
  <si>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</si>
  <si>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</si>
  <si>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</si>
  <si>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</si>
  <si>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</si>
  <si>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</si>
  <si>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</si>
  <si>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</si>
  <si>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</si>
  <si>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</si>
  <si>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</si>
  <si>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</si>
  <si>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</si>
  <si>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</si>
  <si>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</si>
  <si>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</si>
  <si>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</si>
  <si>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</si>
  <si>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</si>
  <si>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</si>
  <si>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</si>
  <si>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</si>
  <si>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</si>
  <si>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</si>
  <si>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</si>
  <si>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</si>
  <si>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</si>
  <si>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</si>
  <si>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</si>
  <si>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</si>
  <si>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</si>
  <si>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</si>
  <si>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</si>
  <si>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</si>
  <si>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</si>
  <si>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</si>
  <si>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</si>
  <si>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</si>
  <si>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</si>
  <si>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</si>
  <si>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</si>
  <si>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</si>
  <si>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</si>
  <si>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</si>
  <si>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</si>
  <si>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</si>
  <si>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</si>
  <si>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</si>
  <si>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</si>
  <si>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</si>
  <si>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</si>
  <si>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</si>
  <si>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</si>
  <si>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</si>
  <si>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</si>
  <si>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</si>
  <si>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</si>
  <si>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</si>
  <si>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</si>
  <si>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</si>
  <si>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</si>
  <si>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</si>
  <si>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</si>
  <si>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</si>
  <si>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</si>
  <si>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</si>
  <si>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</si>
  <si>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</si>
  <si>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</si>
  <si>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</si>
  <si>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</si>
  <si>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</si>
  <si>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</si>
  <si>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</si>
  <si>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</si>
  <si>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</si>
  <si>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</si>
  <si>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</si>
  <si>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</si>
  <si>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</si>
  <si>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</si>
  <si>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</si>
  <si>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</si>
  <si>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</si>
  <si>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</si>
  <si>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</si>
  <si>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</si>
  <si>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</si>
  <si>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</si>
  <si>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</si>
  <si>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</si>
  <si>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</si>
  <si>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</si>
  <si>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</si>
  <si>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</si>
  <si>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</si>
  <si>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</si>
  <si>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</si>
  <si>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</si>
  <si>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</si>
  <si>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</si>
  <si>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</si>
  <si>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</si>
  <si>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</si>
  <si>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</si>
  <si>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</si>
  <si>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</si>
  <si>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</si>
  <si>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</si>
  <si>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</si>
  <si>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</si>
  <si>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</si>
  <si>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</si>
  <si>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</si>
  <si>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</si>
  <si>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</si>
  <si>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</si>
  <si>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</si>
  <si>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</si>
  <si>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</si>
  <si>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</si>
  <si>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</si>
  <si>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</si>
  <si>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</si>
  <si>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</si>
  <si>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</si>
  <si>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</si>
  <si>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</si>
  <si>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</si>
  <si>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</si>
  <si>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</si>
  <si>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</si>
  <si>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</si>
  <si>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</si>
  <si>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</si>
  <si>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</si>
  <si>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</si>
  <si>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</si>
  <si>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</si>
  <si>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</si>
  <si>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</si>
  <si>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</si>
  <si>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</si>
  <si>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</si>
  <si>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</si>
  <si>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</si>
  <si>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</si>
  <si>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</si>
  <si>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</si>
  <si>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</si>
  <si>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</si>
  <si>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</si>
  <si>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</si>
  <si>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</si>
  <si>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</si>
  <si>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</si>
  <si>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</si>
  <si>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</si>
  <si>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</si>
  <si>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</si>
  <si>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</si>
  <si>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</si>
  <si>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</si>
  <si>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</si>
  <si>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</si>
  <si>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</si>
  <si>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</si>
  <si>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</si>
  <si>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</si>
  <si>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</si>
  <si>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</si>
  <si>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</si>
  <si>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</si>
  <si>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</si>
  <si>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</si>
  <si>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</si>
  <si>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</si>
  <si>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</si>
  <si>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</si>
  <si>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</si>
  <si>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</si>
  <si>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</si>
  <si>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</si>
  <si>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</si>
  <si>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</si>
  <si>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</si>
  <si>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</si>
  <si>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</si>
  <si>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</si>
  <si>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</si>
  <si>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</si>
  <si>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</si>
  <si>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</si>
  <si>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</si>
  <si>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</si>
  <si>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</si>
  <si>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</si>
  <si>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</si>
  <si>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</si>
  <si>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</si>
  <si>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</si>
  <si>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</si>
  <si>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</si>
  <si>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</si>
  <si>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</si>
  <si>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</si>
  <si>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</si>
  <si>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</si>
  <si>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</si>
  <si>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</si>
  <si>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</si>
  <si>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</si>
  <si>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</si>
  <si>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</si>
  <si>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</si>
  <si>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</si>
  <si>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</si>
  <si>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</si>
  <si>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</si>
  <si>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</si>
  <si>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</si>
  <si>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</si>
  <si>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</si>
  <si>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</si>
  <si>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</si>
  <si>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</si>
  <si>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</si>
  <si>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</si>
  <si>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</si>
  <si>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</si>
  <si>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</si>
  <si>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</si>
  <si>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</si>
  <si>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</si>
  <si>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</si>
  <si>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</si>
  <si>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</si>
  <si>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</si>
  <si>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</si>
  <si>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</si>
  <si>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</si>
  <si>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</si>
  <si>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</si>
  <si>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</si>
  <si>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</si>
  <si>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</si>
  <si>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</si>
  <si>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</si>
  <si>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</si>
  <si>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</si>
  <si>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</si>
  <si>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</si>
  <si>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</si>
  <si>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</si>
  <si>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</si>
  <si>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</si>
  <si>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</si>
  <si>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</si>
  <si>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</si>
  <si>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</si>
  <si>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</si>
  <si>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</si>
  <si>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</si>
  <si>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</si>
  <si>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</si>
  <si>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</si>
  <si>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</si>
  <si>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</si>
  <si>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</si>
  <si>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</si>
  <si>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</si>
  <si>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</si>
  <si>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</si>
  <si>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</si>
  <si>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</si>
  <si>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</si>
  <si>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</si>
  <si>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</si>
  <si>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</si>
  <si>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</si>
  <si>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</si>
  <si>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</si>
  <si>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</si>
  <si>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</si>
  <si>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</si>
  <si>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</si>
  <si>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</si>
  <si>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</si>
  <si>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</si>
  <si>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</si>
  <si>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</si>
  <si>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</si>
  <si>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</si>
  <si>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</si>
  <si>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</si>
  <si>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</si>
  <si>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</si>
  <si>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</si>
  <si>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</si>
  <si>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</si>
  <si>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</si>
  <si>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</si>
  <si>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</si>
  <si>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</si>
  <si>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</si>
  <si>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</si>
  <si>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</si>
  <si>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</si>
  <si>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</si>
  <si>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</si>
  <si>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</si>
  <si>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</si>
  <si>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</si>
  <si>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</si>
  <si>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</si>
  <si>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</si>
  <si>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</si>
  <si>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</si>
  <si>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</si>
  <si>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</si>
  <si>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</si>
  <si>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</si>
  <si>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</si>
  <si>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</si>
  <si>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</si>
  <si>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</si>
  <si>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</si>
  <si>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</si>
  <si>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</si>
  <si>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</si>
  <si>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</si>
  <si>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</si>
  <si>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</si>
  <si>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</si>
  <si>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</si>
  <si>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</si>
  <si>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</si>
  <si>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</si>
  <si>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</si>
  <si>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</si>
  <si>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</si>
  <si>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</si>
  <si>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</si>
  <si>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</si>
  <si>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</si>
  <si>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</si>
  <si>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</si>
  <si>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</si>
  <si>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</si>
  <si>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</si>
  <si>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</si>
  <si>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</si>
  <si>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</si>
  <si>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</si>
  <si>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</si>
  <si>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</si>
  <si>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</si>
  <si>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</si>
  <si>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</si>
  <si>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</si>
  <si>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</si>
  <si>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</si>
  <si>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</si>
  <si>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</si>
  <si>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</si>
  <si>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</si>
  <si>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</si>
  <si>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</si>
  <si>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</si>
  <si>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</si>
  <si>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</si>
  <si>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</si>
  <si>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</si>
  <si>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</si>
  <si>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</si>
  <si>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</si>
  <si>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</si>
  <si>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</si>
  <si>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</si>
  <si>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</si>
  <si>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</si>
  <si>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</si>
  <si>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</si>
  <si>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</si>
  <si>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</si>
  <si>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</si>
  <si>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</si>
  <si>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</si>
  <si>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</si>
  <si>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</si>
  <si>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</si>
  <si>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</si>
  <si>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</si>
  <si>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</si>
  <si>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</si>
  <si>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</si>
  <si>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</si>
  <si>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</si>
  <si>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</si>
  <si>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</si>
  <si>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</si>
  <si>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</si>
  <si>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</si>
  <si>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</si>
  <si>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</si>
  <si>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</si>
  <si>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</si>
  <si>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</si>
  <si>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</si>
  <si>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</si>
  <si>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</si>
  <si>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</si>
  <si>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</si>
  <si>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</si>
  <si>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</si>
  <si>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</si>
  <si>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</si>
  <si>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</si>
  <si>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</si>
  <si>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</si>
  <si>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</si>
  <si>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</si>
  <si>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</si>
  <si>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</si>
  <si>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</si>
  <si>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</si>
  <si>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</si>
  <si>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</si>
  <si>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</si>
  <si>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</si>
  <si>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</si>
  <si>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</si>
  <si>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</si>
  <si>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</si>
  <si>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</si>
  <si>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</si>
  <si>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</si>
  <si>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</si>
  <si>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</si>
  <si>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</si>
  <si>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</si>
  <si>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</si>
  <si>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</si>
  <si>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</si>
  <si>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</si>
  <si>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</si>
  <si>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</si>
  <si>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</si>
  <si>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</si>
  <si>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</si>
  <si>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</si>
  <si>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</si>
  <si>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</si>
  <si>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</si>
  <si>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</si>
  <si>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</si>
  <si>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</si>
  <si>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</si>
  <si>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</si>
  <si>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</si>
  <si>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</si>
  <si>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</si>
  <si>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</si>
  <si>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</si>
  <si>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</si>
  <si>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</si>
  <si>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</si>
  <si>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</si>
  <si>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</si>
  <si>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</si>
  <si>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</si>
  <si>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</si>
  <si>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</si>
  <si>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</si>
  <si>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</si>
  <si>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</si>
  <si>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</si>
  <si>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</si>
  <si>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</si>
  <si>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</si>
  <si>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</si>
  <si>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</si>
  <si>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</si>
  <si>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</si>
  <si>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</si>
  <si>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</si>
  <si>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</si>
  <si>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</si>
  <si>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</si>
  <si>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</si>
  <si>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</si>
  <si>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</si>
  <si>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</si>
  <si>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</si>
  <si>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</si>
  <si>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</si>
  <si>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</si>
  <si>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</si>
  <si>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</si>
  <si>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</si>
  <si>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</si>
  <si>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</si>
  <si>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</si>
  <si>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</si>
  <si>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</si>
  <si>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</si>
  <si>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</si>
  <si>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</si>
  <si>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</si>
  <si>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</si>
  <si>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</si>
  <si>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</si>
  <si>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</si>
  <si>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</si>
  <si>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</si>
  <si>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</si>
  <si>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</si>
  <si>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</si>
  <si>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</si>
  <si>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</si>
  <si>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</si>
  <si>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</si>
  <si>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</si>
  <si>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</si>
  <si>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</si>
  <si>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</si>
  <si>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</si>
  <si>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</si>
  <si>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</si>
  <si>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</si>
  <si>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</si>
  <si>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</si>
  <si>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</si>
  <si>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</si>
  <si>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</si>
  <si>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</si>
  <si>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</si>
  <si>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</si>
  <si>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</si>
  <si>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</si>
  <si>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</si>
  <si>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</si>
  <si>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</si>
  <si>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</si>
  <si>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</si>
  <si>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</si>
  <si>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</si>
  <si>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</si>
  <si>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</si>
  <si>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</si>
  <si>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</si>
  <si>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</si>
  <si>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</si>
  <si>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</si>
  <si>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</si>
  <si>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</si>
  <si>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</si>
  <si>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</si>
  <si>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</si>
  <si>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</si>
  <si>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</si>
  <si>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</si>
  <si>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</si>
  <si>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</si>
  <si>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</si>
  <si>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</si>
  <si>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</si>
  <si>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</si>
  <si>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</si>
  <si>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</si>
  <si>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</si>
  <si>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</si>
  <si>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</si>
  <si>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</si>
  <si>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</si>
  <si>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</si>
  <si>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</si>
  <si>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</si>
  <si>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</si>
  <si>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</si>
  <si>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</si>
  <si>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</si>
  <si>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</si>
  <si>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</si>
  <si>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</si>
  <si>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</si>
  <si>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</si>
  <si>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</si>
  <si>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</si>
  <si>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</si>
  <si>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</si>
  <si>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</si>
  <si>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</si>
  <si>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</si>
  <si>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</si>
  <si>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</si>
  <si>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</si>
  <si>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</si>
  <si>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</si>
  <si>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</si>
  <si>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</si>
  <si>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</si>
  <si>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</si>
  <si>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</si>
  <si>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</si>
  <si>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</si>
  <si>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</si>
  <si>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</si>
  <si>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</si>
  <si>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</si>
  <si>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</si>
  <si>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</si>
  <si>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</si>
  <si>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</si>
  <si>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</si>
  <si>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</si>
  <si>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</si>
  <si>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</si>
  <si>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</si>
  <si>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</si>
  <si>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</si>
  <si>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</si>
  <si>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</si>
  <si>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</si>
  <si>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</si>
  <si>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</si>
  <si>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</si>
  <si>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</si>
  <si>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</si>
  <si>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</si>
  <si>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</si>
  <si>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</si>
  <si>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</si>
  <si>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</si>
  <si>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</si>
  <si>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</si>
  <si>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</si>
  <si>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</si>
  <si>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</si>
  <si>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</si>
  <si>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</si>
  <si>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</si>
  <si>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</si>
  <si>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</si>
  <si>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</si>
  <si>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</si>
  <si>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</si>
  <si>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</si>
  <si>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</si>
  <si>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</si>
  <si>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</si>
  <si>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</si>
  <si>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</si>
  <si>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</si>
  <si>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</si>
  <si>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</si>
  <si>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</si>
  <si>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</si>
  <si>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</si>
  <si>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</si>
  <si>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</si>
  <si>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</si>
  <si>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</si>
  <si>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</si>
  <si>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</si>
  <si>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</si>
  <si>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</si>
  <si>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</si>
  <si>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</si>
  <si>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</si>
  <si>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</si>
  <si>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</si>
  <si>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</si>
  <si>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</si>
  <si>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</si>
  <si>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</si>
  <si>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</si>
  <si>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</si>
  <si>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</si>
  <si>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</si>
  <si>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</si>
  <si>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</si>
  <si>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</si>
  <si>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</si>
  <si>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</si>
  <si>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</si>
  <si>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</si>
  <si>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</si>
  <si>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</si>
  <si>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</si>
  <si>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</si>
  <si>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</si>
  <si>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</si>
  <si>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</si>
  <si>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</si>
  <si>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</si>
  <si>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</si>
  <si>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</si>
  <si>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</si>
  <si>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</si>
  <si>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</si>
  <si>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</si>
  <si>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</si>
  <si>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</si>
  <si>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</si>
  <si>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</si>
  <si>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</si>
  <si>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</si>
  <si>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</si>
  <si>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</si>
  <si>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</si>
  <si>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</si>
  <si>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</si>
  <si>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</si>
  <si>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</si>
  <si>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</si>
  <si>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</si>
  <si>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</si>
  <si>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</si>
  <si>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</si>
  <si>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</si>
  <si>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</si>
  <si>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</si>
  <si>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</si>
  <si>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</si>
  <si>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</si>
  <si>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</si>
  <si>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</si>
  <si>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</si>
  <si>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</si>
  <si>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</si>
  <si>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</si>
  <si>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</si>
  <si>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</si>
  <si>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</si>
  <si>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</si>
  <si>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</si>
  <si>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</si>
  <si>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</si>
  <si>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</si>
  <si>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</si>
  <si>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</si>
  <si>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</si>
  <si>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</si>
  <si>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</si>
  <si>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</si>
  <si>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</si>
  <si>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</si>
  <si>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</si>
  <si>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</si>
  <si>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</si>
  <si>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</si>
  <si>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</si>
  <si>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</si>
  <si>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</si>
  <si>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</si>
  <si>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</si>
  <si>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</si>
  <si>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</si>
  <si>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</si>
  <si>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</si>
  <si>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</si>
  <si>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</si>
  <si>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</si>
  <si>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</si>
  <si>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</si>
  <si>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</si>
  <si>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</si>
  <si>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</si>
  <si>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</si>
  <si>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</si>
  <si>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</si>
  <si>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</si>
  <si>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</si>
  <si>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</si>
  <si>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</si>
  <si>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</si>
  <si>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</si>
  <si>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</si>
  <si>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</si>
  <si>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</si>
  <si>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</si>
  <si>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</si>
  <si>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</si>
  <si>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</si>
  <si>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</si>
  <si>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</si>
  <si>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</si>
  <si>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</si>
  <si>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</si>
  <si>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</si>
  <si>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</si>
  <si>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</si>
  <si>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</si>
  <si>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</si>
  <si>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</si>
  <si>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</si>
  <si>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</si>
  <si>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</si>
  <si>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</si>
  <si>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</si>
  <si>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</si>
  <si>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</si>
  <si>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</si>
  <si>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</si>
  <si>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</si>
  <si>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</si>
  <si>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</si>
  <si>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</si>
  <si>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</si>
  <si>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</si>
  <si>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</si>
  <si>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</si>
  <si>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</si>
  <si>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</si>
  <si>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</si>
  <si>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</si>
  <si>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</si>
  <si>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</si>
  <si>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</si>
  <si>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</si>
  <si>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</si>
  <si>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</si>
  <si>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</si>
  <si>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</si>
  <si>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</si>
  <si>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</si>
  <si>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</si>
  <si>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</si>
  <si>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</si>
  <si>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</si>
  <si>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</si>
  <si>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</si>
  <si>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</si>
  <si>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</si>
  <si>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</si>
  <si>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</si>
  <si>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</si>
  <si>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</si>
  <si>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</si>
  <si>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</si>
  <si>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</si>
  <si>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</si>
  <si>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</si>
  <si>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</si>
  <si>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</si>
  <si>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</si>
  <si>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</si>
  <si>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</si>
  <si>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</si>
  <si>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</si>
  <si>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</si>
  <si>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</si>
  <si>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</si>
  <si>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</si>
  <si>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</si>
  <si>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</si>
  <si>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</si>
  <si>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</si>
  <si>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</si>
  <si>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</si>
  <si>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</si>
  <si>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</si>
  <si>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</si>
  <si>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</si>
  <si>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</si>
  <si>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</si>
  <si>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</si>
  <si>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</si>
  <si>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</si>
  <si>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</si>
  <si>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</si>
  <si>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</si>
  <si>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</si>
  <si>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</si>
  <si>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</si>
  <si>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</si>
  <si>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</si>
  <si>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</si>
  <si>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</si>
  <si>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</si>
  <si>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</si>
  <si>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</si>
  <si>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</si>
  <si>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</si>
  <si>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</si>
  <si>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</si>
  <si>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</si>
  <si>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</si>
  <si>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</si>
  <si>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</si>
  <si>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</si>
  <si>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</si>
  <si>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</si>
  <si>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</si>
  <si>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</si>
  <si>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</si>
  <si>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</si>
  <si>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</si>
  <si>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</si>
  <si>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</si>
  <si>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</si>
  <si>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</si>
  <si>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</si>
  <si>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</si>
  <si>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</si>
  <si>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</si>
  <si>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</si>
  <si>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</si>
  <si>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</si>
  <si>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</si>
  <si>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</si>
  <si>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</si>
  <si>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</si>
  <si>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</si>
  <si>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</si>
  <si>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</si>
  <si>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</si>
  <si>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</si>
  <si>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</si>
  <si>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</si>
  <si>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</si>
  <si>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</si>
  <si>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</si>
  <si>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</si>
  <si>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</si>
  <si>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</si>
  <si>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</si>
  <si>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</si>
  <si>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</si>
  <si>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</si>
  <si>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</si>
  <si>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</si>
  <si>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</si>
  <si>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</si>
  <si>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</si>
  <si>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</si>
  <si>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</si>
  <si>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</si>
  <si>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</si>
  <si>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</si>
  <si>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</si>
  <si>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</si>
  <si>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</si>
  <si>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</si>
  <si>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</si>
  <si>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</si>
  <si>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</si>
  <si>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</si>
  <si>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</si>
  <si>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</si>
  <si>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</si>
  <si>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</si>
  <si>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</si>
  <si>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</si>
  <si>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</si>
  <si>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</si>
  <si>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</si>
  <si>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</si>
  <si>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</si>
  <si>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</si>
  <si>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</si>
  <si>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</si>
  <si>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</si>
  <si>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</si>
  <si>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</si>
  <si>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</si>
  <si>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</si>
  <si>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</si>
  <si>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</si>
  <si>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</si>
  <si>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</si>
  <si>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</si>
  <si>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</si>
  <si>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</si>
  <si>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</si>
  <si>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</si>
  <si>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</si>
  <si>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</si>
  <si>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</si>
  <si>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</si>
  <si>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</si>
  <si>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</si>
  <si>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</si>
  <si>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</si>
  <si>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</si>
  <si>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</si>
  <si>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</si>
  <si>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</si>
  <si>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</si>
  <si>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</si>
  <si>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</si>
  <si>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</si>
  <si>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</si>
  <si>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</si>
  <si>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</si>
  <si>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</si>
  <si>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</si>
  <si>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</si>
  <si>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</si>
  <si>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</si>
  <si>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</si>
  <si>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</si>
  <si>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</si>
  <si>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</si>
  <si>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</si>
  <si>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</si>
  <si>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</si>
  <si>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</si>
  <si>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</si>
  <si>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</si>
  <si>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</si>
  <si>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</si>
  <si>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</si>
  <si>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</si>
  <si>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</si>
  <si>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</si>
  <si>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</si>
  <si>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</si>
  <si>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</si>
  <si>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</si>
  <si>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</si>
  <si>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</si>
  <si>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</si>
  <si>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</si>
  <si>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</si>
  <si>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</si>
  <si>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</si>
  <si>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</si>
  <si>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</si>
  <si>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</si>
  <si>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</si>
  <si>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</si>
  <si>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</si>
  <si>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</si>
  <si>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</si>
  <si>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</si>
  <si>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</si>
  <si>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</si>
  <si>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</si>
  <si>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</si>
  <si>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</si>
  <si>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</si>
  <si>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</si>
  <si>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</si>
  <si>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</si>
  <si>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</si>
  <si>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</si>
  <si>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</si>
  <si>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</si>
  <si>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</si>
  <si>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</si>
  <si>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</si>
  <si>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</si>
  <si>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</si>
  <si>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</si>
  <si>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</si>
  <si>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</si>
  <si>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</si>
  <si>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</si>
  <si>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</si>
  <si>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</si>
  <si>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</si>
  <si>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</si>
  <si>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</si>
  <si>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</si>
  <si>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</si>
  <si>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</si>
  <si>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</si>
  <si>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</si>
  <si>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</si>
  <si>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</si>
  <si>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</si>
  <si>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</si>
  <si>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</si>
  <si>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</si>
  <si>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</si>
  <si>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</si>
  <si>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</si>
  <si>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</si>
  <si>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</si>
  <si>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</si>
  <si>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</si>
  <si>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</si>
  <si>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</si>
  <si>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</si>
  <si>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</si>
  <si>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</si>
  <si>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</si>
  <si>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</si>
  <si>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</si>
  <si>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</si>
  <si>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</si>
  <si>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</si>
  <si>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</si>
  <si>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</si>
  <si>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</si>
  <si>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</si>
  <si>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</si>
  <si>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</si>
  <si>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</si>
  <si>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</si>
  <si>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</si>
  <si>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</si>
  <si>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</si>
  <si>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</si>
  <si>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</si>
  <si>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</si>
  <si>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</si>
  <si>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</si>
  <si>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</si>
  <si>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</si>
  <si>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</si>
  <si>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</si>
  <si>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</si>
  <si>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</si>
  <si>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</si>
  <si>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</si>
  <si>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</si>
  <si>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</si>
  <si>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</si>
  <si>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</si>
  <si>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</si>
  <si>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</si>
  <si>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</si>
  <si>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</si>
  <si>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</si>
  <si>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</si>
  <si>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</si>
  <si>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</si>
  <si>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</si>
  <si>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</si>
  <si>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</si>
  <si>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</si>
  <si>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</si>
  <si>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</si>
  <si>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</si>
  <si>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</si>
  <si>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</si>
  <si>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</si>
  <si>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</si>
  <si>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</si>
  <si>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</si>
  <si>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</si>
  <si>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</si>
  <si>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</si>
  <si>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</si>
  <si>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</si>
  <si>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</si>
  <si>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</si>
  <si>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</si>
  <si>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</si>
  <si>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</si>
  <si>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</si>
  <si>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</si>
  <si>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</si>
  <si>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</si>
  <si>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</si>
  <si>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</si>
  <si>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</si>
  <si>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</si>
  <si>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</si>
  <si>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</si>
  <si>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</si>
  <si>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</si>
  <si>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</si>
  <si>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</si>
  <si>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</si>
  <si>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</si>
  <si>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</si>
  <si>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</si>
  <si>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</si>
  <si>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</si>
  <si>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</si>
  <si>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</si>
  <si>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</si>
  <si>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</si>
  <si>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</si>
  <si>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</si>
  <si>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</si>
  <si>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</si>
  <si>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</si>
  <si>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</si>
  <si>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</si>
  <si>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</si>
  <si>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</si>
  <si>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</si>
  <si>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</si>
  <si>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</si>
  <si>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</si>
  <si>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</si>
  <si>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</si>
  <si>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</si>
  <si>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</si>
  <si>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</si>
  <si>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</si>
  <si>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</si>
  <si>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</si>
  <si>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</si>
  <si>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</si>
  <si>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</si>
  <si>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</si>
  <si>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</si>
  <si>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</si>
  <si>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</si>
  <si>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</si>
  <si>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</si>
  <si>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</si>
  <si>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</si>
  <si>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</si>
  <si>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</si>
  <si>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</si>
  <si>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</si>
  <si>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</si>
  <si>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</si>
  <si>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</si>
  <si>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</si>
  <si>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</si>
  <si>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</si>
  <si>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</si>
  <si>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</si>
  <si>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</si>
  <si>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</si>
  <si>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</si>
  <si>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</si>
  <si>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</si>
  <si>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</si>
  <si>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</si>
  <si>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</si>
  <si>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</si>
  <si>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</si>
  <si>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</si>
  <si>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</si>
  <si>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</si>
  <si>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</si>
  <si>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</si>
  <si>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</si>
  <si>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</si>
  <si>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</si>
  <si>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</si>
  <si>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</si>
  <si>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</si>
  <si>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</si>
  <si>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</si>
  <si>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</si>
  <si>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</si>
  <si>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</si>
  <si>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</si>
  <si>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</si>
  <si>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</si>
  <si>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</si>
  <si>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</si>
  <si>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</si>
  <si>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</si>
  <si>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</si>
  <si>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</si>
  <si>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</si>
  <si>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</si>
  <si>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</si>
  <si>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</si>
  <si>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</si>
  <si>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</si>
  <si>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</si>
  <si>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</si>
  <si>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</si>
  <si>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</si>
  <si>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</si>
  <si>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</si>
  <si>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</si>
  <si>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</si>
  <si>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</si>
  <si>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</si>
  <si>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</si>
  <si>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</si>
  <si>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</si>
  <si>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</si>
  <si>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</si>
  <si>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</si>
  <si>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</si>
  <si>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</si>
  <si>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</si>
  <si>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</si>
  <si>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</si>
  <si>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</si>
  <si>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</si>
  <si>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</si>
  <si>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</si>
  <si>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</si>
  <si>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</si>
  <si>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</si>
  <si>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</si>
  <si>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</si>
  <si>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</si>
  <si>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</si>
  <si>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</si>
  <si>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</si>
  <si>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</si>
  <si>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</si>
  <si>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</si>
  <si>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</si>
  <si>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</si>
  <si>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</si>
  <si>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</si>
  <si>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</si>
  <si>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</si>
  <si>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</si>
  <si>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</si>
  <si>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</si>
  <si>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</si>
  <si>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</si>
  <si>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</si>
  <si>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</si>
  <si>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</si>
  <si>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</si>
  <si>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</si>
  <si>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</si>
  <si>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</si>
  <si>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</si>
  <si>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</si>
  <si>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</si>
  <si>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</si>
  <si>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</si>
  <si>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</si>
  <si>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</si>
  <si>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</si>
  <si>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</si>
  <si>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</si>
  <si>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</si>
  <si>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</si>
  <si>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</si>
  <si>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</si>
  <si>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</si>
  <si>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</si>
  <si>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</si>
  <si>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</si>
  <si>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</si>
  <si>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</si>
  <si>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</si>
  <si>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</si>
  <si>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</si>
  <si>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</si>
  <si>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</si>
  <si>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</si>
  <si>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</si>
  <si>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</si>
  <si>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</si>
  <si>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</si>
  <si>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</si>
  <si>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</si>
  <si>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</si>
  <si>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</si>
  <si>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</si>
  <si>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</si>
  <si>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</si>
  <si>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</si>
  <si>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</si>
  <si>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</si>
  <si>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</si>
  <si>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</si>
  <si>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</si>
  <si>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</si>
  <si>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</si>
  <si>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</si>
  <si>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</si>
  <si>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</si>
  <si>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</si>
  <si>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</si>
  <si>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</si>
  <si>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</si>
  <si>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</si>
  <si>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</si>
  <si>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</si>
  <si>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</si>
  <si>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</si>
  <si>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</si>
  <si>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</si>
  <si>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</si>
  <si>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</si>
  <si>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</si>
  <si>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</si>
  <si>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</si>
  <si>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</si>
  <si>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</si>
  <si>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</si>
  <si>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</si>
  <si>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</si>
  <si>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</si>
  <si>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</si>
  <si>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</si>
  <si>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</si>
  <si>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</si>
  <si>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</si>
  <si>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</si>
  <si>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</si>
  <si>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</si>
  <si>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</si>
  <si>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</si>
  <si>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</si>
  <si>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</si>
  <si>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</si>
  <si>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</si>
  <si>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</si>
  <si>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</si>
  <si>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</si>
  <si>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</si>
  <si>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</si>
  <si>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</si>
  <si>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</si>
  <si>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</si>
  <si>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</si>
  <si>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</si>
  <si>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</si>
  <si>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</si>
  <si>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</si>
  <si>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</si>
  <si>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</si>
  <si>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</si>
  <si>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</si>
  <si>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</si>
  <si>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</si>
  <si>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</si>
  <si>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</si>
  <si>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</si>
  <si>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</si>
  <si>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</si>
  <si>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</si>
  <si>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</si>
  <si>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</si>
  <si>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</si>
  <si>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</si>
  <si>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</si>
  <si>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</si>
  <si>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</si>
  <si>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</si>
  <si>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</si>
  <si>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</si>
  <si>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</si>
  <si>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</si>
  <si>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</si>
  <si>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</si>
  <si>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</si>
  <si>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</si>
  <si>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</si>
  <si>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</si>
  <si>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</si>
  <si>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</si>
  <si>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</si>
  <si>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</si>
  <si>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</si>
  <si>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</si>
  <si>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</si>
  <si>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</si>
  <si>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</si>
  <si>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</si>
  <si>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</si>
  <si>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</si>
  <si>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</si>
  <si>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</si>
  <si>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</si>
  <si>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</si>
  <si>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</si>
  <si>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</si>
  <si>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</si>
  <si>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</si>
  <si>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</si>
  <si>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</si>
  <si>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</si>
  <si>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</si>
  <si>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</si>
  <si>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</si>
  <si>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</si>
  <si>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</si>
  <si>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</si>
  <si>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</si>
  <si>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</si>
  <si>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</si>
  <si>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</si>
  <si>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</si>
  <si>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</si>
  <si>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</si>
  <si>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</si>
  <si>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</si>
  <si>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</si>
  <si>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</si>
  <si>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</si>
  <si>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</si>
  <si>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</si>
  <si>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</si>
  <si>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</si>
  <si>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</si>
  <si>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</si>
  <si>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</si>
  <si>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</si>
  <si>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</si>
  <si>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</si>
  <si>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</si>
  <si>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</si>
  <si>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</si>
  <si>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</si>
  <si>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</si>
  <si>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</si>
  <si>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</si>
  <si>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</si>
  <si>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</si>
  <si>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</si>
  <si>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</si>
  <si>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</si>
  <si>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</si>
  <si>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</si>
  <si>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</si>
  <si>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</si>
  <si>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</si>
  <si>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</si>
  <si>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</si>
  <si>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</si>
  <si>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</si>
  <si>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</si>
  <si>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</si>
  <si>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</si>
  <si>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</si>
  <si>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</si>
  <si>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</si>
  <si>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</si>
  <si>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</si>
  <si>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</si>
  <si>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</si>
  <si>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</si>
  <si>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</si>
  <si>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</si>
  <si>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</si>
  <si>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</si>
  <si>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</si>
  <si>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</si>
  <si>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</si>
  <si>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</si>
  <si>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</si>
  <si>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</si>
  <si>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</si>
  <si>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</si>
  <si>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</si>
  <si>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</si>
  <si>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</si>
  <si>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</si>
  <si>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</si>
  <si>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</si>
  <si>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</si>
  <si>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</si>
  <si>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</si>
  <si>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</si>
  <si>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</si>
  <si>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</si>
  <si>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</si>
  <si>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</si>
  <si>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</si>
  <si>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</si>
  <si>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</si>
  <si>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</si>
  <si>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</si>
  <si>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</si>
  <si>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</si>
  <si>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</si>
  <si>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</si>
  <si>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</si>
  <si>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</si>
  <si>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</si>
  <si>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</si>
  <si>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</si>
  <si>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</si>
  <si>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</si>
  <si>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</si>
  <si>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</si>
  <si>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</si>
  <si>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</si>
  <si>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</si>
  <si>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</si>
  <si>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</si>
  <si>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</si>
  <si>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</si>
  <si>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</si>
  <si>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</si>
  <si>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</si>
  <si>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</si>
  <si>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</si>
  <si>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</si>
  <si>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</si>
  <si>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</si>
  <si>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</si>
  <si>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</si>
  <si>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</si>
  <si>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</si>
  <si>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</si>
  <si>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</si>
  <si>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</si>
  <si>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</si>
  <si>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</si>
  <si>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</si>
  <si>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</si>
  <si>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</si>
  <si>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</si>
  <si>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</si>
  <si>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</si>
  <si>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</si>
  <si>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</si>
  <si>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</si>
  <si>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</si>
  <si>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</si>
  <si>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</si>
  <si>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</si>
  <si>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</si>
  <si>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</si>
  <si>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</si>
  <si>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</si>
  <si>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</si>
  <si>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</si>
  <si>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</si>
  <si>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</si>
  <si>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</si>
  <si>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</si>
  <si>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</si>
  <si>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</si>
  <si>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</si>
  <si>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</si>
  <si>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</si>
  <si>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</si>
  <si>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</si>
  <si>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</si>
  <si>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</si>
  <si>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</si>
  <si>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</si>
  <si>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</si>
  <si>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</si>
  <si>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</si>
  <si>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</si>
  <si>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</si>
  <si>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</si>
  <si>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</si>
  <si>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</si>
  <si>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</si>
  <si>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</si>
  <si>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</si>
  <si>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</si>
  <si>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</si>
  <si>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</si>
  <si>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</si>
  <si>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</si>
  <si>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</si>
  <si>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</si>
  <si>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</si>
  <si>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</si>
  <si>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</si>
  <si>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</si>
  <si>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</si>
  <si>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</si>
  <si>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</si>
  <si>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</si>
  <si>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</si>
  <si>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</si>
  <si>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</si>
  <si>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</si>
  <si>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</si>
  <si>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</si>
  <si>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</si>
  <si>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</si>
  <si>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</si>
  <si>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</si>
  <si>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</si>
  <si>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</si>
  <si>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</si>
  <si>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</si>
  <si>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</si>
  <si>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</si>
  <si>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</si>
  <si>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</si>
  <si>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</si>
  <si>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</si>
  <si>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</si>
  <si>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</si>
  <si>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</si>
  <si>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</si>
  <si>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</si>
  <si>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</si>
  <si>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</si>
  <si>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</si>
  <si>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</si>
  <si>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</si>
  <si>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</si>
  <si>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</si>
  <si>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</si>
  <si>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</si>
  <si>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</si>
  <si>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</si>
  <si>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</si>
  <si>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</si>
  <si>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</si>
  <si>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</si>
  <si>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</si>
  <si>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</si>
  <si>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</si>
  <si>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</si>
  <si>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</si>
  <si>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</si>
  <si>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</si>
  <si>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</si>
  <si>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</si>
  <si>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</si>
  <si>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</si>
  <si>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</si>
  <si>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</si>
  <si>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</si>
  <si>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</si>
  <si>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</si>
  <si>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</si>
  <si>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</si>
  <si>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</si>
  <si>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</si>
  <si>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</si>
  <si>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</si>
  <si>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</si>
  <si>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</si>
  <si>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</si>
  <si>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</si>
  <si>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</si>
  <si>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</si>
  <si>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</si>
  <si>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</si>
  <si>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</si>
  <si>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</si>
  <si>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</si>
  <si>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</si>
  <si>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</si>
  <si>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</si>
  <si>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</si>
  <si>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</si>
  <si>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</si>
  <si>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</si>
  <si>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</si>
  <si>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</si>
  <si>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</si>
  <si>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</si>
  <si>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</si>
  <si>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</si>
  <si>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</si>
  <si>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</si>
  <si>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</si>
  <si>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</si>
  <si>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</si>
  <si>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</si>
  <si>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</si>
  <si>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</si>
  <si>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</si>
  <si>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</si>
  <si>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</si>
  <si>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</si>
  <si>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</si>
  <si>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</si>
  <si>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</si>
  <si>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</si>
  <si>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</si>
  <si>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</si>
  <si>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</si>
  <si>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</si>
  <si>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</si>
  <si>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</si>
  <si>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</si>
  <si>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</si>
  <si>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</si>
  <si>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</si>
  <si>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</si>
  <si>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</si>
  <si>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</si>
  <si>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</si>
  <si>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</si>
  <si>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</si>
  <si>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</si>
  <si>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</si>
  <si>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</si>
  <si>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</si>
  <si>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</si>
  <si>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</si>
  <si>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</si>
  <si>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</si>
  <si>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</si>
  <si>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</si>
  <si>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</si>
  <si>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</si>
  <si>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</si>
  <si>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</si>
  <si>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</si>
  <si>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</si>
  <si>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</si>
  <si>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</si>
  <si>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</si>
  <si>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</si>
  <si>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</si>
  <si>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</si>
  <si>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</si>
  <si>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</si>
  <si>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</si>
  <si>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</si>
  <si>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</si>
  <si>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</si>
  <si>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</si>
  <si>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</si>
  <si>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</si>
  <si>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</si>
  <si>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</si>
  <si>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</si>
  <si>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</si>
  <si>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</si>
  <si>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</si>
  <si>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</si>
  <si>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</si>
  <si>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</si>
  <si>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</si>
  <si>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</si>
  <si>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</si>
  <si>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</si>
  <si>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</si>
  <si>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</si>
  <si>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</si>
  <si>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</si>
  <si>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</si>
  <si>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</si>
  <si>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</si>
  <si>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</si>
  <si>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</si>
  <si>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</si>
  <si>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</si>
  <si>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</si>
  <si>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</si>
  <si>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</si>
  <si>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</si>
  <si>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</si>
  <si>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</si>
  <si>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</si>
  <si>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</si>
  <si>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</si>
  <si>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</si>
  <si>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</si>
  <si>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</si>
  <si>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</si>
  <si>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</si>
  <si>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</si>
  <si>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</si>
  <si>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</si>
  <si>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</si>
  <si>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</si>
  <si>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</si>
  <si>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</si>
  <si>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</si>
  <si>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</si>
  <si>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</si>
  <si>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</si>
  <si>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</si>
  <si>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</si>
  <si>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</si>
  <si>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</si>
  <si>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</si>
  <si>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</si>
  <si>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</si>
  <si>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</si>
  <si>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</si>
  <si>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</si>
  <si>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</si>
  <si>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</si>
  <si>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</si>
  <si>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</si>
  <si>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</si>
  <si>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</si>
  <si>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</si>
  <si>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</si>
  <si>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</si>
  <si>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</si>
  <si>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</si>
  <si>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</si>
  <si>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</si>
  <si>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</si>
  <si>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</si>
  <si>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</si>
  <si>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</si>
  <si>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</si>
  <si>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</si>
  <si>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</si>
  <si>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</si>
  <si>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</si>
  <si>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</si>
  <si>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</si>
  <si>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</si>
  <si>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</si>
  <si>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</si>
  <si>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</si>
  <si>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</si>
  <si>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</si>
  <si>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</si>
  <si>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</si>
  <si>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</si>
  <si>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</si>
  <si>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</si>
  <si>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</si>
  <si>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</si>
  <si>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</si>
  <si>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</si>
  <si>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</si>
  <si>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</si>
  <si>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</si>
  <si>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</si>
  <si>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</si>
  <si>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</si>
  <si>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</si>
  <si>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</si>
  <si>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</si>
  <si>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</si>
  <si>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</si>
  <si>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</si>
  <si>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</si>
  <si>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</si>
  <si>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</si>
  <si>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</si>
  <si>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</si>
  <si>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</si>
  <si>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</si>
  <si>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</si>
  <si>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</si>
  <si>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</si>
  <si>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</si>
  <si>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</si>
  <si>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</si>
  <si>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</si>
  <si>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</si>
  <si>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</si>
  <si>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</si>
  <si>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</si>
  <si>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</si>
  <si>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</si>
  <si>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</si>
  <si>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</si>
  <si>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</si>
  <si>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</si>
  <si>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</si>
  <si>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</si>
  <si>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</si>
  <si>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</si>
  <si>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</si>
  <si>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</si>
  <si>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</si>
  <si>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</si>
  <si>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</si>
  <si>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</si>
  <si>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</si>
  <si>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</si>
  <si>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</si>
  <si>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</si>
  <si>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</si>
  <si>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</si>
  <si>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</si>
  <si>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</si>
  <si>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</si>
  <si>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</si>
  <si>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</si>
  <si>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</si>
  <si>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</si>
  <si>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</si>
  <si>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</si>
  <si>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</si>
  <si>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</si>
  <si>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</si>
  <si>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</si>
  <si>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</si>
  <si>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</si>
  <si>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</si>
  <si>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</si>
  <si>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</si>
  <si>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</si>
  <si>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</si>
  <si>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</si>
  <si>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</si>
  <si>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</si>
  <si>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</si>
  <si>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</si>
  <si>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</si>
  <si>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</si>
  <si>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</si>
  <si>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</si>
  <si>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</si>
  <si>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</si>
  <si>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</si>
  <si>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</si>
  <si>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</si>
  <si>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</si>
  <si>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</si>
  <si>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</si>
  <si>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</si>
  <si>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</si>
  <si>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</si>
  <si>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</si>
  <si>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</si>
  <si>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</si>
  <si>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</si>
  <si>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</si>
  <si>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</si>
  <si>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</si>
  <si>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</si>
  <si>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</si>
  <si>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</si>
  <si>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</si>
  <si>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</si>
  <si>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</si>
  <si>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</si>
  <si>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</si>
  <si>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</si>
  <si>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</si>
  <si>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</si>
  <si>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</si>
  <si>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</si>
  <si>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</si>
  <si>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</si>
  <si>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</si>
  <si>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</si>
  <si>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</si>
  <si>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</si>
  <si>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</si>
  <si>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</si>
  <si>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</si>
  <si>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</si>
  <si>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</si>
  <si>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</si>
  <si>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</si>
  <si>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</si>
  <si>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</si>
  <si>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</si>
  <si>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</si>
  <si>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</si>
  <si>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</si>
  <si>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</si>
  <si>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</si>
  <si>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</si>
  <si>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</si>
  <si>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</si>
  <si>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</si>
  <si>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</si>
  <si>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</si>
  <si>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</si>
  <si>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</si>
  <si>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</si>
  <si>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</si>
  <si>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</si>
  <si>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</si>
  <si>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</si>
  <si>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</si>
  <si>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</si>
  <si>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</si>
  <si>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</si>
  <si>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</si>
  <si>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</si>
  <si>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</si>
  <si>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</si>
  <si>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</si>
  <si>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</si>
  <si>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</si>
  <si>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</si>
  <si>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</si>
  <si>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</si>
  <si>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</si>
  <si>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</si>
  <si>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</si>
  <si>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</si>
  <si>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</si>
  <si>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</si>
  <si>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</si>
  <si>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</si>
  <si>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</si>
  <si>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</si>
  <si>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</si>
  <si>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</si>
  <si>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</si>
  <si>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</si>
  <si>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</si>
  <si>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</si>
  <si>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</si>
  <si>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</si>
  <si>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</si>
  <si>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</si>
  <si>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</si>
  <si>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</si>
  <si>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</si>
  <si>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</si>
  <si>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</si>
  <si>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</si>
  <si>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</si>
  <si>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</si>
  <si>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</si>
  <si>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</si>
  <si>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</si>
  <si>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</si>
  <si>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</si>
  <si>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</si>
  <si>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</si>
  <si>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</si>
  <si>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</si>
  <si>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</si>
  <si>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</si>
  <si>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</si>
  <si>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</si>
  <si>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</si>
  <si>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</si>
  <si>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</si>
  <si>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</si>
  <si>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</si>
  <si>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</si>
  <si>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</si>
  <si>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</si>
  <si>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</si>
  <si>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</si>
  <si>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</si>
  <si>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</si>
  <si>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</si>
  <si>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</si>
  <si>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</si>
  <si>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</si>
  <si>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</si>
  <si>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</si>
  <si>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</si>
  <si>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</si>
  <si>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</si>
  <si>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</si>
  <si>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</si>
  <si>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</si>
  <si>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</si>
  <si>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</si>
  <si>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</si>
  <si>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</si>
  <si>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</si>
  <si>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</si>
  <si>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</si>
  <si>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</si>
  <si>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</si>
  <si>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</si>
  <si>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</si>
  <si>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</si>
  <si>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</si>
  <si>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</si>
  <si>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</si>
  <si>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</si>
  <si>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</si>
  <si>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</si>
  <si>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</si>
  <si>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</si>
  <si>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</si>
  <si>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</si>
  <si>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</si>
  <si>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</si>
  <si>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</si>
  <si>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</si>
  <si>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</si>
  <si>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</si>
  <si>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</si>
  <si>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</si>
  <si>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</si>
  <si>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</si>
  <si>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</si>
  <si>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</si>
  <si>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</si>
  <si>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</si>
  <si>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</si>
  <si>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</si>
  <si>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</si>
  <si>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</si>
  <si>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</si>
  <si>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</si>
  <si>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</si>
  <si>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</si>
  <si>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</si>
  <si>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</si>
  <si>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</si>
  <si>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</si>
  <si>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</si>
  <si>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</si>
  <si>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</si>
  <si>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</si>
  <si>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</si>
  <si>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</si>
  <si>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</si>
  <si>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</si>
  <si>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</si>
  <si>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</si>
  <si>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</si>
  <si>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</si>
  <si>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</si>
  <si>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</si>
  <si>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</si>
  <si>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</si>
  <si>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</si>
  <si>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</si>
  <si>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</si>
  <si>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</si>
  <si>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</si>
  <si>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</si>
  <si>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</si>
  <si>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</si>
  <si>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</si>
  <si>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</si>
  <si>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</si>
  <si>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</si>
  <si>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</si>
  <si>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</si>
  <si>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</si>
  <si>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</si>
  <si>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</si>
  <si>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</si>
  <si>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</si>
  <si>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</si>
  <si>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</si>
  <si>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</si>
  <si>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</si>
  <si>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</si>
  <si>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</si>
  <si>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</si>
  <si>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</si>
  <si>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</si>
  <si>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</si>
  <si>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</si>
  <si>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</si>
  <si>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</si>
  <si>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</si>
  <si>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</si>
  <si>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</si>
  <si>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</si>
  <si>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</si>
  <si>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</si>
  <si>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</si>
  <si>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</si>
  <si>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</si>
  <si>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</si>
  <si>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</si>
  <si>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</si>
  <si>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</si>
  <si>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</si>
  <si>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</si>
  <si>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</si>
  <si>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</si>
  <si>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</si>
  <si>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</si>
  <si>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</si>
  <si>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</si>
  <si>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</si>
  <si>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</si>
  <si>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</si>
  <si>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</si>
  <si>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</si>
  <si>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</si>
  <si>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</si>
  <si>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</si>
  <si>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</si>
  <si>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</si>
  <si>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</si>
  <si>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</si>
  <si>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</si>
  <si>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</si>
  <si>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</si>
  <si>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</si>
  <si>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</si>
  <si>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</si>
  <si>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</si>
  <si>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</si>
  <si>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</si>
  <si>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</si>
  <si>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</si>
  <si>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</si>
  <si>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</si>
  <si>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</si>
  <si>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</si>
  <si>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</si>
  <si>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</si>
  <si>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</si>
  <si>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</si>
  <si>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</si>
  <si>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</si>
  <si>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</si>
  <si>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</si>
  <si>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</si>
  <si>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</si>
  <si>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</si>
  <si>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</si>
  <si>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</si>
  <si>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</si>
  <si>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</si>
  <si>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</si>
  <si>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</si>
  <si>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</si>
  <si>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</si>
  <si>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</si>
  <si>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</si>
  <si>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</si>
  <si>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</si>
  <si>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</si>
  <si>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</si>
  <si>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</si>
  <si>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</si>
  <si>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</si>
  <si>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</si>
  <si>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</si>
  <si>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</si>
  <si>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</si>
  <si>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</si>
  <si>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</si>
  <si>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</si>
  <si>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</si>
  <si>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</si>
  <si>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</si>
  <si>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</si>
  <si>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</si>
  <si>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</si>
  <si>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</si>
  <si>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</si>
  <si>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</si>
  <si>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</si>
  <si>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</si>
  <si>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</si>
  <si>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</si>
  <si>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</si>
  <si>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</si>
  <si>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</si>
  <si>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</si>
  <si>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</si>
  <si>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</si>
  <si>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</si>
  <si>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</si>
  <si>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</si>
  <si>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</si>
  <si>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</si>
  <si>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</si>
  <si>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</si>
  <si>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</si>
  <si>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</si>
  <si>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</si>
  <si>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</si>
  <si>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</si>
  <si>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</si>
  <si>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</si>
  <si>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</si>
  <si>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</si>
  <si>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</si>
  <si>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</si>
  <si>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</si>
  <si>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</si>
  <si>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</si>
  <si>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</si>
  <si>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</si>
  <si>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</si>
  <si>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</si>
  <si>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</si>
  <si>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</si>
  <si>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</si>
  <si>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</si>
  <si>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</si>
  <si>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</si>
  <si>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</si>
  <si>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</si>
  <si>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</si>
  <si>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</si>
  <si>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</si>
  <si>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</si>
  <si>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</si>
  <si>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</si>
  <si>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</si>
  <si>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</si>
  <si>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</si>
  <si>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</si>
  <si>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</si>
  <si>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</si>
  <si>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</si>
  <si>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</si>
  <si>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</si>
  <si>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</si>
  <si>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</si>
  <si>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</si>
  <si>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</si>
  <si>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</si>
  <si>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</si>
  <si>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</si>
  <si>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</si>
  <si>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</si>
  <si>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</si>
  <si>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</si>
  <si>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</si>
  <si>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</si>
  <si>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</si>
  <si>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</si>
  <si>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</si>
  <si>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</si>
  <si>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</si>
  <si>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</si>
  <si>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</si>
  <si>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</si>
  <si>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</si>
  <si>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</si>
  <si>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</si>
  <si>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</si>
  <si>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</si>
  <si>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</si>
  <si>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</si>
  <si>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</si>
  <si>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</si>
  <si>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</si>
  <si>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</si>
  <si>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</si>
  <si>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</si>
  <si>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</si>
  <si>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</si>
  <si>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</si>
  <si>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</si>
  <si>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</si>
  <si>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</si>
  <si>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</si>
  <si>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</si>
  <si>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</si>
  <si>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</si>
  <si>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</si>
  <si>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</si>
  <si>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</si>
  <si>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</si>
  <si>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</si>
  <si>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</si>
  <si>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</si>
  <si>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</si>
  <si>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</si>
  <si>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</si>
  <si>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</si>
  <si>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</si>
  <si>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</si>
  <si>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</si>
  <si>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</si>
  <si>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</si>
  <si>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</si>
  <si>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</si>
  <si>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</si>
  <si>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</si>
  <si>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</si>
  <si>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</si>
  <si>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</si>
  <si>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</si>
  <si>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</si>
  <si>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</si>
  <si>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</si>
  <si>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</si>
  <si>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</si>
  <si>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</si>
  <si>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</si>
  <si>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</si>
  <si>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</si>
  <si>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</si>
  <si>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</si>
  <si>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</si>
  <si>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</si>
  <si>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</si>
  <si>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</si>
  <si>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</si>
  <si>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</si>
  <si>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</si>
  <si>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</si>
  <si>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</si>
  <si>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</si>
  <si>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</si>
  <si>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</si>
  <si>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</si>
  <si>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</si>
  <si>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</si>
  <si>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</si>
  <si>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</si>
  <si>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</si>
  <si>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</si>
  <si>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</si>
  <si>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</si>
  <si>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</si>
  <si>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</si>
  <si>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</si>
  <si>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</si>
  <si>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</si>
  <si>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</si>
  <si>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</si>
  <si>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</si>
  <si>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</si>
  <si>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</si>
  <si>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</si>
  <si>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</si>
  <si>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</si>
  <si>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</si>
  <si>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</si>
  <si>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</si>
  <si>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</si>
  <si>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</si>
  <si>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</si>
  <si>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</si>
  <si>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</si>
  <si>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</si>
  <si>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</si>
  <si>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</si>
  <si>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</si>
  <si>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</si>
  <si>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</si>
  <si>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</si>
  <si>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</si>
  <si>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</si>
  <si>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</si>
  <si>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</si>
  <si>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</si>
  <si>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</si>
  <si>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</si>
  <si>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</si>
  <si>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</si>
  <si>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</si>
  <si>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</si>
  <si>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</si>
  <si>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</si>
  <si>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</si>
  <si>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</si>
  <si>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</si>
  <si>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</si>
  <si>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</si>
  <si>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</si>
  <si>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</si>
  <si>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</si>
  <si>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</si>
  <si>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</si>
  <si>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</si>
  <si>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</si>
  <si>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</si>
  <si>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</si>
  <si>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</si>
  <si>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</si>
  <si>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</si>
  <si>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</si>
  <si>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</si>
  <si>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</si>
  <si>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</si>
  <si>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</si>
  <si>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</si>
  <si>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</si>
  <si>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</si>
  <si>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</si>
  <si>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</si>
  <si>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</si>
  <si>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</si>
  <si>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</si>
  <si>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</si>
  <si>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</si>
  <si>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</si>
  <si>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</si>
  <si>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</si>
  <si>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</si>
  <si>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</si>
  <si>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</si>
  <si>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</si>
  <si>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</si>
  <si>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</si>
  <si>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</si>
  <si>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</si>
  <si>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</si>
  <si>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</si>
  <si>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</si>
  <si>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</si>
  <si>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</si>
  <si>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</si>
  <si>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</si>
  <si>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</si>
  <si>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</si>
  <si>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</si>
  <si>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</si>
  <si>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</si>
  <si>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</si>
  <si>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</si>
  <si>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</si>
  <si>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</si>
  <si>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</si>
  <si>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</si>
  <si>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</si>
  <si>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</si>
  <si>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</si>
  <si>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</si>
  <si>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</si>
  <si>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</si>
  <si>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</si>
  <si>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</si>
  <si>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</si>
  <si>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</si>
  <si>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</si>
  <si>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</si>
  <si>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</si>
  <si>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</si>
  <si>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</si>
  <si>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</si>
  <si>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</si>
  <si>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</si>
  <si>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</si>
  <si>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</si>
  <si>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</si>
  <si>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</si>
  <si>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</si>
  <si>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</si>
  <si>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</si>
  <si>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</si>
  <si>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</si>
  <si>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</si>
  <si>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</si>
  <si>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</si>
  <si>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</si>
  <si>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</si>
  <si>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</si>
  <si>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</si>
  <si>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</si>
  <si>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</si>
  <si>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</si>
  <si>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</si>
  <si>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</si>
  <si>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</si>
  <si>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</si>
  <si>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</si>
  <si>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</si>
  <si>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</si>
  <si>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</si>
  <si>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</si>
  <si>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</si>
  <si>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</si>
  <si>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</si>
  <si>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</si>
  <si>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</si>
  <si>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</si>
  <si>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</si>
  <si>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</si>
  <si>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</si>
  <si>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</si>
  <si>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</si>
  <si>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</si>
  <si>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</si>
  <si>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</si>
  <si>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</si>
  <si>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</si>
  <si>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</si>
  <si>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</si>
  <si>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</si>
  <si>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</si>
  <si>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</si>
  <si>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</si>
  <si>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</si>
  <si>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</si>
  <si>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</si>
  <si>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</si>
  <si>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</si>
  <si>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</si>
  <si>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</si>
  <si>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</si>
  <si>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</si>
  <si>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</si>
  <si>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</si>
  <si>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</si>
  <si>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</si>
  <si>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</si>
  <si>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</si>
  <si>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</si>
  <si>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</si>
  <si>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</si>
  <si>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</si>
  <si>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</si>
  <si>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</si>
  <si>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</si>
  <si>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</si>
  <si>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</si>
  <si>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</si>
  <si>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</si>
  <si>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</si>
  <si>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</si>
  <si>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</si>
  <si>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</si>
  <si>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</si>
  <si>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</si>
  <si>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</si>
  <si>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</si>
  <si>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</si>
  <si>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</si>
  <si>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</si>
  <si>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</si>
  <si>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</si>
  <si>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</si>
  <si>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</si>
  <si>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</si>
  <si>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</si>
  <si>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</si>
  <si>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</si>
  <si>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</si>
  <si>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</si>
  <si>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</si>
  <si>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</si>
  <si>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</si>
  <si>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</si>
  <si>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</si>
  <si>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</si>
  <si>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</si>
  <si>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</si>
  <si>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</si>
  <si>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</si>
  <si>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</si>
  <si>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</si>
  <si>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</si>
  <si>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</si>
  <si>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</si>
  <si>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</si>
  <si>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</si>
  <si>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</si>
  <si>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</si>
  <si>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</si>
  <si>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</si>
  <si>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</si>
  <si>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</si>
  <si>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</si>
  <si>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</si>
  <si>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</si>
  <si>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</si>
  <si>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</si>
  <si>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</si>
  <si>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</si>
  <si>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</si>
  <si>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</si>
  <si>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</si>
  <si>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</si>
  <si>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</si>
  <si>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</si>
  <si>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</si>
  <si>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</si>
  <si>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</si>
  <si>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</si>
  <si>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</si>
  <si>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</si>
  <si>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</si>
  <si>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</si>
  <si>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</si>
  <si>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</si>
  <si>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</si>
  <si>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</si>
  <si>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</si>
  <si>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</si>
  <si>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</si>
  <si>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</si>
  <si>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</si>
  <si>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</si>
  <si>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</si>
  <si>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</si>
  <si>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</si>
  <si>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</si>
  <si>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</si>
  <si>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</si>
  <si>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</si>
  <si>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</si>
  <si>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</si>
  <si>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</si>
  <si>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</si>
  <si>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</si>
  <si>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</si>
  <si>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</si>
  <si>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</si>
  <si>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</si>
  <si>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</si>
  <si>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</si>
  <si>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</si>
  <si>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</si>
  <si>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</si>
  <si>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</si>
  <si>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</si>
  <si>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</si>
  <si>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</si>
  <si>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</si>
  <si>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</si>
  <si>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</si>
  <si>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</si>
  <si>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</si>
  <si>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</si>
  <si>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</si>
  <si>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</si>
  <si>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</si>
  <si>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</si>
  <si>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</si>
  <si>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</si>
  <si>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</si>
  <si>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</si>
  <si>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</si>
  <si>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</si>
  <si>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</si>
  <si>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</si>
  <si>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</si>
  <si>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</si>
  <si>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</si>
  <si>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</si>
  <si>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</si>
  <si>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</si>
  <si>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</si>
  <si>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</si>
  <si>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</si>
  <si>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</si>
  <si>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</si>
  <si>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</si>
  <si>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</si>
  <si>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</si>
  <si>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</si>
  <si>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</si>
  <si>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</si>
  <si>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</si>
  <si>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</si>
  <si>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</si>
  <si>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</si>
  <si>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</si>
  <si>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</si>
  <si>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</si>
  <si>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</si>
  <si>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</si>
  <si>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</si>
  <si>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</si>
  <si>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</si>
  <si>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</si>
  <si>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</si>
  <si>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</si>
  <si>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</si>
  <si>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</si>
  <si>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</si>
  <si>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</si>
  <si>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</si>
  <si>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</si>
  <si>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</si>
  <si>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</si>
  <si>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</si>
  <si>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</si>
  <si>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</si>
  <si>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</si>
  <si>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</si>
  <si>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</si>
  <si>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</si>
  <si>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</si>
  <si>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</si>
  <si>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</si>
  <si>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</si>
  <si>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</si>
  <si>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</si>
  <si>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</si>
  <si>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</si>
  <si>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</si>
  <si>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</si>
  <si>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</si>
  <si>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</si>
  <si>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</si>
  <si>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</si>
  <si>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</si>
  <si>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</si>
  <si>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</si>
  <si>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</si>
  <si>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</si>
  <si>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</si>
  <si>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</si>
  <si>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</si>
  <si>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</si>
  <si>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</si>
  <si>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</si>
  <si>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</si>
  <si>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</si>
  <si>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</si>
  <si>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</si>
  <si>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</si>
  <si>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</si>
  <si>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</si>
  <si>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</si>
  <si>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</si>
  <si>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</si>
  <si>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</si>
  <si>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</si>
  <si>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</si>
  <si>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</si>
  <si>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</si>
  <si>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</si>
  <si>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</si>
  <si>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</si>
  <si>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</si>
  <si>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</si>
  <si>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</si>
  <si>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</si>
  <si>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</si>
  <si>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</si>
  <si>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</si>
  <si>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</si>
  <si>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</si>
  <si>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</si>
  <si>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</si>
  <si>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</si>
  <si>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</si>
  <si>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</si>
  <si>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</si>
  <si>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</si>
  <si>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</si>
  <si>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</si>
  <si>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</si>
  <si>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</si>
  <si>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</si>
  <si>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</si>
  <si>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</si>
  <si>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</si>
  <si>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</si>
  <si>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</si>
  <si>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</si>
  <si>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</si>
  <si>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</si>
  <si>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</si>
  <si>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</si>
  <si>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</si>
  <si>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</si>
  <si>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</si>
  <si>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</si>
  <si>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</si>
  <si>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</si>
  <si>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</si>
  <si>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</si>
  <si>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</si>
  <si>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</si>
  <si>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</si>
  <si>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</si>
  <si>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</si>
  <si>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</si>
  <si>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</si>
  <si>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</si>
  <si>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</si>
  <si>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</si>
  <si>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</si>
  <si>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</si>
  <si>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</si>
  <si>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</si>
  <si>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</si>
  <si>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</si>
  <si>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</si>
  <si>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</si>
  <si>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</si>
  <si>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</si>
  <si>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</si>
  <si>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</si>
  <si>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</si>
  <si>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</si>
  <si>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</si>
  <si>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</si>
  <si>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</si>
  <si>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</si>
  <si>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</si>
  <si>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</si>
  <si>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</si>
  <si>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</si>
  <si>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</si>
  <si>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</si>
  <si>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</si>
  <si>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</si>
  <si>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</si>
  <si>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</si>
  <si>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</si>
  <si>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</si>
  <si>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</si>
  <si>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</si>
  <si>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</si>
  <si>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</si>
  <si>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</si>
  <si>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</si>
  <si>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</si>
  <si>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</si>
  <si>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</si>
  <si>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</si>
  <si>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</si>
  <si>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</si>
  <si>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</si>
  <si>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</si>
  <si>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</si>
  <si>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</si>
  <si>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</si>
  <si>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</si>
  <si>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</si>
  <si>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</si>
  <si>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</si>
  <si>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</si>
  <si>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</si>
  <si>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</si>
  <si>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</si>
  <si>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</si>
  <si>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</si>
  <si>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</si>
  <si>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</si>
  <si>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</si>
  <si>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</si>
  <si>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</si>
  <si>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</si>
  <si>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</si>
  <si>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</si>
  <si>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</si>
  <si>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</si>
  <si>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</si>
  <si>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</si>
  <si>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</si>
  <si>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</si>
  <si>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</si>
  <si>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</si>
  <si>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</si>
  <si>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</si>
  <si>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</si>
  <si>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</si>
  <si>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</si>
  <si>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</si>
  <si>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</si>
  <si>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</si>
  <si>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</si>
  <si>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</si>
  <si>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</si>
  <si>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</si>
  <si>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</si>
  <si>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</si>
  <si>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</si>
  <si>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</si>
  <si>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</si>
  <si>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</si>
  <si>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</si>
  <si>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</si>
  <si>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</si>
  <si>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</si>
  <si>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</si>
  <si>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</si>
  <si>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</si>
  <si>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</si>
  <si>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</si>
  <si>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</si>
  <si>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</si>
  <si>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</si>
  <si>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</si>
  <si>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</si>
  <si>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</si>
  <si>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</si>
  <si>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</si>
  <si>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</si>
  <si>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</si>
  <si>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</si>
  <si>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</si>
  <si>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</si>
  <si>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</si>
  <si>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</si>
  <si>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</si>
  <si>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</si>
  <si>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</si>
  <si>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</si>
  <si>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</si>
  <si>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</si>
  <si>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</si>
  <si>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</si>
  <si>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</si>
  <si>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</si>
  <si>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</si>
  <si>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</si>
  <si>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</si>
  <si>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</si>
  <si>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</si>
  <si>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</si>
  <si>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</si>
  <si>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</si>
  <si>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</si>
  <si>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</si>
  <si>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</si>
  <si>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</si>
  <si>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</si>
  <si>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</si>
  <si>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</si>
  <si>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</si>
  <si>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</si>
  <si>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</si>
  <si>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</si>
  <si>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</si>
  <si>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</si>
  <si>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</si>
  <si>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</si>
  <si>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</si>
  <si>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</si>
  <si>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</si>
  <si>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</si>
  <si>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</si>
  <si>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</si>
  <si>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</si>
  <si>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</si>
  <si>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</si>
  <si>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</si>
  <si>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</si>
  <si>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</si>
  <si>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</si>
  <si>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</si>
  <si>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</si>
  <si>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</si>
  <si>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</si>
  <si>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</si>
  <si>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</si>
  <si>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</si>
  <si>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</si>
  <si>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</si>
  <si>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</si>
  <si>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</si>
  <si>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</si>
  <si>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</si>
  <si>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</si>
  <si>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</si>
  <si>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</si>
  <si>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</si>
  <si>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</si>
  <si>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</si>
  <si>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</si>
  <si>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</si>
  <si>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</si>
  <si>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</si>
  <si>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</si>
  <si>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</si>
  <si>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</si>
  <si>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</si>
  <si>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</si>
  <si>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</si>
  <si>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</si>
  <si>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</si>
  <si>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</si>
  <si>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</si>
  <si>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</si>
  <si>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</si>
  <si>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</si>
  <si>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</si>
  <si>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</si>
  <si>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</si>
  <si>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</si>
  <si>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</si>
  <si>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</si>
  <si>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</si>
  <si>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</si>
  <si>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</si>
  <si>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</si>
  <si>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</si>
  <si>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</si>
  <si>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</si>
  <si>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</si>
  <si>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</si>
  <si>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</si>
  <si>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</si>
  <si>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</si>
  <si>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</si>
  <si>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</si>
  <si>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</si>
  <si>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</si>
  <si>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</si>
  <si>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</si>
  <si>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</si>
  <si>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</si>
  <si>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</si>
  <si>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</si>
  <si>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</si>
  <si>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</si>
  <si>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</si>
  <si>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</si>
  <si>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</si>
  <si>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</si>
  <si>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</si>
  <si>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</si>
  <si>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</si>
  <si>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</si>
  <si>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</si>
  <si>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</si>
  <si>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</si>
  <si>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</si>
  <si>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</si>
  <si>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</si>
  <si>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</si>
  <si>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</si>
  <si>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</si>
  <si>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</si>
  <si>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</si>
  <si>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</si>
  <si>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</si>
  <si>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</si>
  <si>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</si>
  <si>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</si>
  <si>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</si>
  <si>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</si>
  <si>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</si>
  <si>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</si>
  <si>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</si>
  <si>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</si>
  <si>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</si>
  <si>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</si>
  <si>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</si>
  <si>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</si>
  <si>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</si>
  <si>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</si>
  <si>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</si>
  <si>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</si>
  <si>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</si>
  <si>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</si>
  <si>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</si>
  <si>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</si>
  <si>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</si>
  <si>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</si>
  <si>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</si>
  <si>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</si>
  <si>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</si>
  <si>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</si>
  <si>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</si>
  <si>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</si>
  <si>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</si>
  <si>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</si>
  <si>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</si>
  <si>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</si>
  <si>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</si>
  <si>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</si>
  <si>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</si>
  <si>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</si>
  <si>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</si>
  <si>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</si>
  <si>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</si>
  <si>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</si>
  <si>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</si>
  <si>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</si>
  <si>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</si>
  <si>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</si>
  <si>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</si>
  <si>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</si>
  <si>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</si>
  <si>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</si>
  <si>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</si>
  <si>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</si>
  <si>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</si>
  <si>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</si>
  <si>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</si>
  <si>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</si>
  <si>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</si>
  <si>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</si>
  <si>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</si>
  <si>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</si>
  <si>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</si>
  <si>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</si>
  <si>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</si>
  <si>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</si>
  <si>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</si>
  <si>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</si>
  <si>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</si>
  <si>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</si>
  <si>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</si>
  <si>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</si>
  <si>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</si>
  <si>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</si>
  <si>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</si>
  <si>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</si>
  <si>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</si>
  <si>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</si>
  <si>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</si>
  <si>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</si>
  <si>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</si>
  <si>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</si>
  <si>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</si>
  <si>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</si>
  <si>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</si>
  <si>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</si>
  <si>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</si>
  <si>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</si>
  <si>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</si>
  <si>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</si>
  <si>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</si>
  <si>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</si>
  <si>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</si>
  <si>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</si>
  <si>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</si>
  <si>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</si>
  <si>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</si>
  <si>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</si>
  <si>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</si>
  <si>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</si>
  <si>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</si>
  <si>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</si>
  <si>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</si>
  <si>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</si>
  <si>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</si>
  <si>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</si>
  <si>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</si>
  <si>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</si>
  <si>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</si>
  <si>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</si>
  <si>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</si>
  <si>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</si>
  <si>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</si>
  <si>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</si>
  <si>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</si>
  <si>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</si>
  <si>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</si>
  <si>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</si>
  <si>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</si>
  <si>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</si>
  <si>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</si>
  <si>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</si>
  <si>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</si>
  <si>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</si>
  <si>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</si>
  <si>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</si>
  <si>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</si>
  <si>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</si>
  <si>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</si>
  <si>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</si>
  <si>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</si>
  <si>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</si>
  <si>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</si>
  <si>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</si>
  <si>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</si>
  <si>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</si>
  <si>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</si>
  <si>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</si>
  <si>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</si>
  <si>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</si>
  <si>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</si>
  <si>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</si>
  <si>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</si>
  <si>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</si>
  <si>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</si>
  <si>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</si>
  <si>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</si>
  <si>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</si>
  <si>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</si>
  <si>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</si>
  <si>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</si>
  <si>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</si>
  <si>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</si>
  <si>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</si>
  <si>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</si>
  <si>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</si>
  <si>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</si>
  <si>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</si>
  <si>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</si>
  <si>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</si>
  <si>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</si>
  <si>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</si>
  <si>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</si>
  <si>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</si>
  <si>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</si>
  <si>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</si>
  <si>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</si>
  <si>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</si>
  <si>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</si>
  <si>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</si>
  <si>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</si>
  <si>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</si>
  <si>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</si>
  <si>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</si>
  <si>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</si>
  <si>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</si>
  <si>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</si>
  <si>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</si>
  <si>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</si>
  <si>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</si>
  <si>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</si>
  <si>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</si>
  <si>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</si>
  <si>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</si>
  <si>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</si>
  <si>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</si>
  <si>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</si>
  <si>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</si>
  <si>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</si>
  <si>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</si>
  <si>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</si>
  <si>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</si>
  <si>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</si>
  <si>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</si>
  <si>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</si>
  <si>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</si>
  <si>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</si>
  <si>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</si>
  <si>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</si>
  <si>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</si>
  <si>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</si>
  <si>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</si>
  <si>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</si>
  <si>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</si>
  <si>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</si>
  <si>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</si>
  <si>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</si>
  <si>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</si>
  <si>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</si>
  <si>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</si>
  <si>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</si>
  <si>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</si>
  <si>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</si>
  <si>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</si>
  <si>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</si>
  <si>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</si>
  <si>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</si>
  <si>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</si>
  <si>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</si>
  <si>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</si>
  <si>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</si>
  <si>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</si>
  <si>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</si>
  <si>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</si>
  <si>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</si>
  <si>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</si>
  <si>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</si>
  <si>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</si>
  <si>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</si>
  <si>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</si>
  <si>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</si>
  <si>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</si>
  <si>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</si>
  <si>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</si>
  <si>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</si>
  <si>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</si>
  <si>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</si>
  <si>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</si>
  <si>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</si>
  <si>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</si>
  <si>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</si>
  <si>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</si>
  <si>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</si>
  <si>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</si>
  <si>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</si>
  <si>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</si>
  <si>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</si>
  <si>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</si>
  <si>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</si>
  <si>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</si>
  <si>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</si>
  <si>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</si>
  <si>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</si>
  <si>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</si>
  <si>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</si>
  <si>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</si>
  <si>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</si>
  <si>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</si>
  <si>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</si>
  <si>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</si>
  <si>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</si>
  <si>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</si>
  <si>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</si>
  <si>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</si>
  <si>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</si>
  <si>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</si>
  <si>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</si>
  <si>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</si>
  <si>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</si>
  <si>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</si>
  <si>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</si>
  <si>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</si>
  <si>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</si>
  <si>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</si>
  <si>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</si>
  <si>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</si>
  <si>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</si>
  <si>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</si>
  <si>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</si>
  <si>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</si>
  <si>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</si>
  <si>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</si>
  <si>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</si>
  <si>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</si>
  <si>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</si>
  <si>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</si>
  <si>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</si>
  <si>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</si>
  <si>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</si>
  <si>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</si>
  <si>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</si>
  <si>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</si>
  <si>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</si>
  <si>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</si>
  <si>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</si>
  <si>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</si>
  <si>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</si>
  <si>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</si>
  <si>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</si>
  <si>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</si>
  <si>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</si>
  <si>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</si>
  <si>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</si>
  <si>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</si>
  <si>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</si>
  <si>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</si>
  <si>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</si>
  <si>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</si>
  <si>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</si>
  <si>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</si>
  <si>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</si>
  <si>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</si>
  <si>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</si>
  <si>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</si>
  <si>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</si>
  <si>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</si>
  <si>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</si>
  <si>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</si>
  <si>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</si>
  <si>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</si>
  <si>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</si>
  <si>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</si>
  <si>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</si>
  <si>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</si>
  <si>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</si>
  <si>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</si>
  <si>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</si>
  <si>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</si>
  <si>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</si>
  <si>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</si>
  <si>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</si>
  <si>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</si>
  <si>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</si>
  <si>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</si>
  <si>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</si>
  <si>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</si>
  <si>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</si>
  <si>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</si>
  <si>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</si>
  <si>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</si>
  <si>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</si>
  <si>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</si>
  <si>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</si>
  <si>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</si>
  <si>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</si>
  <si>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</si>
  <si>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</si>
  <si>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</si>
  <si>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</si>
  <si>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</si>
  <si>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</si>
  <si>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</si>
  <si>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</si>
  <si>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</si>
  <si>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</si>
  <si>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</si>
  <si>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</si>
  <si>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</si>
  <si>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</si>
  <si>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</si>
  <si>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</si>
  <si>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</si>
  <si>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</si>
  <si>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</si>
  <si>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</si>
  <si>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</si>
  <si>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</si>
  <si>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</si>
  <si>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</si>
  <si>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</si>
  <si>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</si>
  <si>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</si>
  <si>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</si>
  <si>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</si>
  <si>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</si>
  <si>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</si>
  <si>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</si>
  <si>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</si>
  <si>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</si>
  <si>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</si>
  <si>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</si>
  <si>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</si>
  <si>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</si>
  <si>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</si>
  <si>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</si>
  <si>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</si>
  <si>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</si>
  <si>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</si>
  <si>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</si>
  <si>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</si>
  <si>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</si>
  <si>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</si>
  <si>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</si>
  <si>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</si>
  <si>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</si>
  <si>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</si>
  <si>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</si>
  <si>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</si>
  <si>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</si>
  <si>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</si>
  <si>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</si>
  <si>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</si>
  <si>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</si>
  <si>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</si>
  <si>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</si>
  <si>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</si>
  <si>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</si>
  <si>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</si>
  <si>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</si>
  <si>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</si>
  <si>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</si>
  <si>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</si>
  <si>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</si>
  <si>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</si>
  <si>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</si>
  <si>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</si>
  <si>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</si>
  <si>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</si>
  <si>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</si>
  <si>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</si>
  <si>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</si>
  <si>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</si>
  <si>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</si>
  <si>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</si>
  <si>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</si>
  <si>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</si>
  <si>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</si>
  <si>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</si>
  <si>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</si>
  <si>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</si>
  <si>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</si>
  <si>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</si>
  <si>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</si>
  <si>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</si>
  <si>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</si>
  <si>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</si>
  <si>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</si>
  <si>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</si>
  <si>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</si>
  <si>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</si>
  <si>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</si>
  <si>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</si>
  <si>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</si>
  <si>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</si>
  <si>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</si>
  <si>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</si>
  <si>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</si>
  <si>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</si>
  <si>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</si>
  <si>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</si>
  <si>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</si>
  <si>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</si>
  <si>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</si>
  <si>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</si>
  <si>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</si>
  <si>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</si>
  <si>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</si>
  <si>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</si>
  <si>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</si>
  <si>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</si>
  <si>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</si>
  <si>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</si>
  <si>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</si>
  <si>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</si>
  <si>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</si>
  <si>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</si>
  <si>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</si>
  <si>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</si>
  <si>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</si>
  <si>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</si>
  <si>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</si>
  <si>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</si>
  <si>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</si>
  <si>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</si>
  <si>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</si>
  <si>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</si>
  <si>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</si>
  <si>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</si>
  <si>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</si>
  <si>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</si>
  <si>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</si>
  <si>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</si>
  <si>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</si>
  <si>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</si>
  <si>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</si>
  <si>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</si>
  <si>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</si>
  <si>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</si>
  <si>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</si>
  <si>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</si>
  <si>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</si>
  <si>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</si>
  <si>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</si>
  <si>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</si>
  <si>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</si>
  <si>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</si>
  <si>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</si>
  <si>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</si>
  <si>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</si>
  <si>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</si>
  <si>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</si>
  <si>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</si>
  <si>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</si>
  <si>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</si>
  <si>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</si>
  <si>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</si>
  <si>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</si>
  <si>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</si>
  <si>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</si>
  <si>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</si>
  <si>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</si>
  <si>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</si>
  <si>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</si>
  <si>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</si>
  <si>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</si>
  <si>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</si>
  <si>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</si>
  <si>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</si>
  <si>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</si>
  <si>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</si>
  <si>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</si>
  <si>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</si>
  <si>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</si>
  <si>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</si>
  <si>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</si>
  <si>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</si>
  <si>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</si>
  <si>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</si>
  <si>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</si>
  <si>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</si>
  <si>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</si>
  <si>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</si>
  <si>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</si>
  <si>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</si>
  <si>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</si>
  <si>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</si>
  <si>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</si>
  <si>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</si>
  <si>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</si>
  <si>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</si>
  <si>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</si>
  <si>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</si>
  <si>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</si>
  <si>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</si>
  <si>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</si>
  <si>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</si>
  <si>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</si>
  <si>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</si>
  <si>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</si>
  <si>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</si>
  <si>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</si>
  <si>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</si>
  <si>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</si>
  <si>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</si>
  <si>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</si>
  <si>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</si>
  <si>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</si>
  <si>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</si>
  <si>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</si>
  <si>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</si>
  <si>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</si>
  <si>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</si>
  <si>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</si>
  <si>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</si>
  <si>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</si>
  <si>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</si>
  <si>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</si>
  <si>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</si>
  <si>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</si>
  <si>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</si>
  <si>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</si>
  <si>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</si>
  <si>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</si>
  <si>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</si>
  <si>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</si>
  <si>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</si>
  <si>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</si>
  <si>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</si>
  <si>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</si>
  <si>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</si>
  <si>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</si>
  <si>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</si>
  <si>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</si>
  <si>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</si>
  <si>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</si>
  <si>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</si>
  <si>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</si>
  <si>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</si>
  <si>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</si>
  <si>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</si>
  <si>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</si>
  <si>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</si>
  <si>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</si>
  <si>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</si>
  <si>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</si>
  <si>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</si>
  <si>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</si>
  <si>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</si>
  <si>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</si>
  <si>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</si>
  <si>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</si>
  <si>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</si>
  <si>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</si>
  <si>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</si>
  <si>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</si>
  <si>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</si>
  <si>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</si>
  <si>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</si>
  <si>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</si>
  <si>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</si>
  <si>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</si>
  <si>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</si>
  <si>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</si>
  <si>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</si>
  <si>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</si>
  <si>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</si>
  <si>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</si>
  <si>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</si>
  <si>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</si>
  <si>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</si>
  <si>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</si>
  <si>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</si>
  <si>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</si>
  <si>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</si>
  <si>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</si>
  <si>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</si>
  <si>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</si>
  <si>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</si>
  <si>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</si>
  <si>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</si>
  <si>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</si>
  <si>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</si>
  <si>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</si>
  <si>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</si>
  <si>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</si>
  <si>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</si>
  <si>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</si>
  <si>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</si>
  <si>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</si>
  <si>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</si>
  <si>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</si>
  <si>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</si>
  <si>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</si>
  <si>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</si>
  <si>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</si>
  <si>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</si>
  <si>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</si>
  <si>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</si>
  <si>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</si>
  <si>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</si>
  <si>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</si>
  <si>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</si>
  <si>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</si>
  <si>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</si>
  <si>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</si>
  <si>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</si>
  <si>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</si>
  <si>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</si>
  <si>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</si>
  <si>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</si>
  <si>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</si>
  <si>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</si>
  <si>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</si>
  <si>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</si>
  <si>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</si>
  <si>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</si>
  <si>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</si>
  <si>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</si>
  <si>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</si>
  <si>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</si>
  <si>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</si>
  <si>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</si>
  <si>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</si>
  <si>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</si>
  <si>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</si>
  <si>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</si>
  <si>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</si>
  <si>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</si>
  <si>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</si>
  <si>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</si>
  <si>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</si>
  <si>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</si>
  <si>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</si>
  <si>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</si>
  <si>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</si>
  <si>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</si>
  <si>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</si>
  <si>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</si>
  <si>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</si>
  <si>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</si>
  <si>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</si>
  <si>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</si>
  <si>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</si>
  <si>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</si>
  <si>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</si>
  <si>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</si>
  <si>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</si>
  <si>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</si>
  <si>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</si>
  <si>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</si>
  <si>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</si>
  <si>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</si>
  <si>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</si>
  <si>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</si>
  <si>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</si>
  <si>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</si>
  <si>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</si>
  <si>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</si>
  <si>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</si>
  <si>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</si>
  <si>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</si>
  <si>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</si>
  <si>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</si>
  <si>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</si>
  <si>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</si>
  <si>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</si>
  <si>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</si>
  <si>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</si>
  <si>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</si>
  <si>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</si>
  <si>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</si>
  <si>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</si>
  <si>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</si>
  <si>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</si>
  <si>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</si>
  <si>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</si>
  <si>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</si>
  <si>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</si>
  <si>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</si>
  <si>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</si>
  <si>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</si>
  <si>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</si>
  <si>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</si>
  <si>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</si>
  <si>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</si>
  <si>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</si>
  <si>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</si>
  <si>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</si>
  <si>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</si>
  <si>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</si>
  <si>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</si>
  <si>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</si>
  <si>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</si>
  <si>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</si>
  <si>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</si>
  <si>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</si>
  <si>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</si>
  <si>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</si>
  <si>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</si>
  <si>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</si>
  <si>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</si>
  <si>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</si>
  <si>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</si>
  <si>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</si>
  <si>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</si>
  <si>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</si>
  <si>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</si>
  <si>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</si>
  <si>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</si>
  <si>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</si>
  <si>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</si>
  <si>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</si>
  <si>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</si>
  <si>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</si>
  <si>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</si>
  <si>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</si>
  <si>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</si>
  <si>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</si>
  <si>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</si>
  <si>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</si>
  <si>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</si>
  <si>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</si>
  <si>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</si>
  <si>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</si>
  <si>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</si>
  <si>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</si>
  <si>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</si>
  <si>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</si>
  <si>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</si>
  <si>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</si>
  <si>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</si>
  <si>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</si>
  <si>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</si>
  <si>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</si>
  <si>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</si>
  <si>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</si>
  <si>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</si>
  <si>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</si>
  <si>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</si>
  <si>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</si>
  <si>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</si>
  <si>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</si>
  <si>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</si>
  <si>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</si>
  <si>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</si>
  <si>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</si>
  <si>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</si>
  <si>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</si>
  <si>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</si>
  <si>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</si>
  <si>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</si>
  <si>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</si>
  <si>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</si>
  <si>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</si>
  <si>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</si>
  <si>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</si>
  <si>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</si>
  <si>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</si>
  <si>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</si>
  <si>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</si>
  <si>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</si>
  <si>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</si>
  <si>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</si>
  <si>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</si>
  <si>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</si>
  <si>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</si>
  <si>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</si>
  <si>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</si>
  <si>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</si>
  <si>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</si>
  <si>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</si>
  <si>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</si>
  <si>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</si>
  <si>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</si>
  <si>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</si>
  <si>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</si>
  <si>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</si>
  <si>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</si>
  <si>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</si>
  <si>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</si>
  <si>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</si>
  <si>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</si>
  <si>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</si>
  <si>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</si>
  <si>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</si>
  <si>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</si>
  <si>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</si>
  <si>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</si>
  <si>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</si>
  <si>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</si>
  <si>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</si>
  <si>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</si>
  <si>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</si>
  <si>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</si>
  <si>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</si>
  <si>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</si>
  <si>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</si>
  <si>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</si>
  <si>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</si>
  <si>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</si>
  <si>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</si>
  <si>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</si>
  <si>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</si>
  <si>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</si>
  <si>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</si>
  <si>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</si>
  <si>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</si>
  <si>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</si>
  <si>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</si>
  <si>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</si>
  <si>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</si>
  <si>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</si>
  <si>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</si>
  <si>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</si>
  <si>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</si>
  <si>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</si>
  <si>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</si>
  <si>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</si>
  <si>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</si>
  <si>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</si>
  <si>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</si>
  <si>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</si>
  <si>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</si>
  <si>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</si>
  <si>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</si>
  <si>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</si>
  <si>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</si>
  <si>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</si>
  <si>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</si>
  <si>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</si>
  <si>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</si>
  <si>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</si>
  <si>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</si>
  <si>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</si>
  <si>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</si>
  <si>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</si>
  <si>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</si>
  <si>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</si>
  <si>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</si>
  <si>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</si>
  <si>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</si>
  <si>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</si>
  <si>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</si>
  <si>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</si>
  <si>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</si>
  <si>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</si>
  <si>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</si>
  <si>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</si>
  <si>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</si>
  <si>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</si>
  <si>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</si>
  <si>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</si>
  <si>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</si>
  <si>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</si>
  <si>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</si>
  <si>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</si>
  <si>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</si>
  <si>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</si>
  <si>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</si>
  <si>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</si>
  <si>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</si>
  <si>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</si>
  <si>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</si>
  <si>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</si>
  <si>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</si>
  <si>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</si>
  <si>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</si>
  <si>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</si>
  <si>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</si>
  <si>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</si>
  <si>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</si>
  <si>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</si>
  <si>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</si>
  <si>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</si>
  <si>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</si>
  <si>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</si>
  <si>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</si>
  <si>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</si>
  <si>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</si>
  <si>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</si>
  <si>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</si>
  <si>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</si>
  <si>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</si>
  <si>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</si>
  <si>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</si>
  <si>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</si>
  <si>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</si>
  <si>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</si>
  <si>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</si>
  <si>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</si>
  <si>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</si>
  <si>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</si>
  <si>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</si>
  <si>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</si>
  <si>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</si>
  <si>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</si>
  <si>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</si>
  <si>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</si>
  <si>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</si>
  <si>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</si>
  <si>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</si>
  <si>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</si>
  <si>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</si>
  <si>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</si>
  <si>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</si>
  <si>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</si>
  <si>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</si>
  <si>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</si>
  <si>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</si>
  <si>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</si>
  <si>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</si>
  <si>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</si>
  <si>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</si>
  <si>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</si>
  <si>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</si>
  <si>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</si>
  <si>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</si>
  <si>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</si>
  <si>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</si>
  <si>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</si>
  <si>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</si>
  <si>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</si>
  <si>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</si>
  <si>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</si>
  <si>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</si>
  <si>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</si>
  <si>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</si>
  <si>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</si>
  <si>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</si>
  <si>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</si>
  <si>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</si>
  <si>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</si>
  <si>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</si>
  <si>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</si>
  <si>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</si>
  <si>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</si>
  <si>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</si>
  <si>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</si>
  <si>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</si>
  <si>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</si>
  <si>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</si>
  <si>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</si>
  <si>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</si>
  <si>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</si>
  <si>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</si>
  <si>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</si>
  <si>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</si>
  <si>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</si>
  <si>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</si>
  <si>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</si>
  <si>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</si>
  <si>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</si>
  <si>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</si>
  <si>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</si>
  <si>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</si>
  <si>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</si>
  <si>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</si>
  <si>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</si>
  <si>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</si>
  <si>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</si>
  <si>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</si>
  <si>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</si>
  <si>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</si>
  <si>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</si>
  <si>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</si>
  <si>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</si>
  <si>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</si>
  <si>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</si>
  <si>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</si>
  <si>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</si>
  <si>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</si>
  <si>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</si>
  <si>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</si>
  <si>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</si>
  <si>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</si>
  <si>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</si>
  <si>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</si>
  <si>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</si>
  <si>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</si>
  <si>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</si>
  <si>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</si>
  <si>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</si>
  <si>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</si>
  <si>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</si>
  <si>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</si>
  <si>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</si>
  <si>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</si>
  <si>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</si>
  <si>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</si>
  <si>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</si>
  <si>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</si>
  <si>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</si>
  <si>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</si>
  <si>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</si>
  <si>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</si>
  <si>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</si>
  <si>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</si>
  <si>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</si>
  <si>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</si>
  <si>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</si>
  <si>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</si>
  <si>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</si>
  <si>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</si>
  <si>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</si>
  <si>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</si>
  <si>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</si>
  <si>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</si>
  <si>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</si>
  <si>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</si>
  <si>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</si>
  <si>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</si>
  <si>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</si>
  <si>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</si>
  <si>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</si>
  <si>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</si>
  <si>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</si>
  <si>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</si>
  <si>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</si>
  <si>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</si>
  <si>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</si>
  <si>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</si>
  <si>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</si>
  <si>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</si>
  <si>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</si>
  <si>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</si>
  <si>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</si>
  <si>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</si>
  <si>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</si>
  <si>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</si>
  <si>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</si>
  <si>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</si>
  <si>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</si>
  <si>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</si>
  <si>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</si>
  <si>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</si>
  <si>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</si>
  <si>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</si>
  <si>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</si>
  <si>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</si>
  <si>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</si>
  <si>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</si>
  <si>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</si>
  <si>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</si>
  <si>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</si>
  <si>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</si>
  <si>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</si>
  <si>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</si>
  <si>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</si>
  <si>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</si>
  <si>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</si>
  <si>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</si>
  <si>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</si>
  <si>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</si>
  <si>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</si>
  <si>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</si>
  <si>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</si>
  <si>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</si>
  <si>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</si>
  <si>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</si>
  <si>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</si>
  <si>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</si>
  <si>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</si>
  <si>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</si>
  <si>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</si>
  <si>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</si>
  <si>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</si>
  <si>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</si>
  <si>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</si>
  <si>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</si>
  <si>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</si>
  <si>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</si>
  <si>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</si>
  <si>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</si>
  <si>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</si>
  <si>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</si>
  <si>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</si>
  <si>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</si>
  <si>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</si>
  <si>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</si>
  <si>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</si>
  <si>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</si>
  <si>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</si>
  <si>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</si>
  <si>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</si>
  <si>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</si>
  <si>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</si>
  <si>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</si>
  <si>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</si>
  <si>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</si>
  <si>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</si>
  <si>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</si>
  <si>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</si>
  <si>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</si>
  <si>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</si>
  <si>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</si>
  <si>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</si>
  <si>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</si>
  <si>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</si>
  <si>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</si>
  <si>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</si>
  <si>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</si>
  <si>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</si>
  <si>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</si>
  <si>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</si>
  <si>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</si>
  <si>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</si>
  <si>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</si>
  <si>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</si>
  <si>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</si>
  <si>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</si>
  <si>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</si>
  <si>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</si>
  <si>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</si>
  <si>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</si>
  <si>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</si>
  <si>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</si>
  <si>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</si>
  <si>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</si>
  <si>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</si>
  <si>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</si>
  <si>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</si>
  <si>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</si>
  <si>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</si>
  <si>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</si>
  <si>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</si>
  <si>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</si>
  <si>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</si>
  <si>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</si>
  <si>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</si>
  <si>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</si>
  <si>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</si>
  <si>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</si>
  <si>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</si>
  <si>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</si>
  <si>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</si>
  <si>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</si>
  <si>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</si>
  <si>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</si>
  <si>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</si>
  <si>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</si>
  <si>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</si>
  <si>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</si>
  <si>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</si>
  <si>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</si>
  <si>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</si>
  <si>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</si>
  <si>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</si>
  <si>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</si>
  <si>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</si>
  <si>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</si>
  <si>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</si>
  <si>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</si>
  <si>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</si>
  <si>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</si>
  <si>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</si>
  <si>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</si>
  <si>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</si>
  <si>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</si>
  <si>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</si>
  <si>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</si>
  <si>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</si>
  <si>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</si>
  <si>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</si>
  <si>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</si>
  <si>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</si>
  <si>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</si>
  <si>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</si>
  <si>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</si>
  <si>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</si>
  <si>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</si>
  <si>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</si>
  <si>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</si>
  <si>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</si>
  <si>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</si>
  <si>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</si>
  <si>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</si>
  <si>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</si>
  <si>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</si>
  <si>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</si>
  <si>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</si>
  <si>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</si>
  <si>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</si>
  <si>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</si>
  <si>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</si>
  <si>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</si>
  <si>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</si>
  <si>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</si>
  <si>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</si>
  <si>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</si>
  <si>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</si>
  <si>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</si>
  <si>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</si>
  <si>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</si>
  <si>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</si>
  <si>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</si>
  <si>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</si>
  <si>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</si>
  <si>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</si>
  <si>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</si>
  <si>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</si>
  <si>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</si>
  <si>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</si>
  <si>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</si>
  <si>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</si>
  <si>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</si>
  <si>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</si>
  <si>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</si>
  <si>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</si>
  <si>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</si>
  <si>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</si>
  <si>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</si>
  <si>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</si>
  <si>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</si>
  <si>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</si>
  <si>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</si>
  <si>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</si>
  <si>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</si>
  <si>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</si>
  <si>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</si>
  <si>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</si>
  <si>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</si>
  <si>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</si>
  <si>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</si>
  <si>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</si>
  <si>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</si>
  <si>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</si>
  <si>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</si>
  <si>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</si>
  <si>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</si>
  <si>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</si>
  <si>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</si>
  <si>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</si>
  <si>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</si>
  <si>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</si>
  <si>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</si>
  <si>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</si>
  <si>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</si>
  <si>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</si>
  <si>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</si>
  <si>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</si>
  <si>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</si>
  <si>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</si>
  <si>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</si>
  <si>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</si>
  <si>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</si>
  <si>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</si>
  <si>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</si>
  <si>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</si>
  <si>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</si>
  <si>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</si>
  <si>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</si>
  <si>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</si>
  <si>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</si>
  <si>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</si>
  <si>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</si>
  <si>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</si>
  <si>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</si>
  <si>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</si>
  <si>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</si>
  <si>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</si>
  <si>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</si>
  <si>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</si>
  <si>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</si>
  <si>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</si>
  <si>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</si>
  <si>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</si>
  <si>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</si>
  <si>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</si>
  <si>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</si>
  <si>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</si>
  <si>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</si>
  <si>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</si>
  <si>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</si>
  <si>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</si>
  <si>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</si>
  <si>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</si>
  <si>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</si>
  <si>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</si>
  <si>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</si>
  <si>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</si>
  <si>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</si>
  <si>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</si>
  <si>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</si>
  <si>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</si>
  <si>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</si>
  <si>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</si>
  <si>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</si>
  <si>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</si>
  <si>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</si>
  <si>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</si>
  <si>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</si>
  <si>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</si>
  <si>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</si>
  <si>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</si>
  <si>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</si>
  <si>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</si>
  <si>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</si>
  <si>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</si>
  <si>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</si>
  <si>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</si>
  <si>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</si>
  <si>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</si>
  <si>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</si>
  <si>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</si>
  <si>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</si>
  <si>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</si>
  <si>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</si>
  <si>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</si>
  <si>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</si>
  <si>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</si>
  <si>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</si>
  <si>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</si>
  <si>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</si>
  <si>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</si>
  <si>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</si>
  <si>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</si>
  <si>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</si>
  <si>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</si>
  <si>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</si>
  <si>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</si>
  <si>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</si>
  <si>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</si>
  <si>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</si>
  <si>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</si>
  <si>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</si>
  <si>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</si>
  <si>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</si>
  <si>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</si>
  <si>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</si>
  <si>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</si>
  <si>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</si>
  <si>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</si>
  <si>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</si>
  <si>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</si>
  <si>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</si>
  <si>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</si>
  <si>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</si>
  <si>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</si>
  <si>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</si>
  <si>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</si>
  <si>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</si>
  <si>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</si>
  <si>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</si>
  <si>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</si>
  <si>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</si>
  <si>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</si>
  <si>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</si>
  <si>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</si>
  <si>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</si>
  <si>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</si>
  <si>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</si>
  <si>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</si>
  <si>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</si>
  <si>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</si>
  <si>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</si>
  <si>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</si>
  <si>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</si>
  <si>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</si>
  <si>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</si>
  <si>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</si>
  <si>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</si>
  <si>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</si>
  <si>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</si>
  <si>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</si>
  <si>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</si>
  <si>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</si>
  <si>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</si>
  <si>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</si>
  <si>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</si>
  <si>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</si>
  <si>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</si>
  <si>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</si>
  <si>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</si>
  <si>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</si>
  <si>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</si>
  <si>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</si>
  <si>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</si>
  <si>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</si>
  <si>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</si>
  <si>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</si>
  <si>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</si>
  <si>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</si>
  <si>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</si>
  <si>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</si>
  <si>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</si>
  <si>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</si>
  <si>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</si>
  <si>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</si>
  <si>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</si>
  <si>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</si>
  <si>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</si>
  <si>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</si>
  <si>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</si>
  <si>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</si>
  <si>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</si>
  <si>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</si>
  <si>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</si>
  <si>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</si>
  <si>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</si>
  <si>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</si>
  <si>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</si>
  <si>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</si>
  <si>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</si>
  <si>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</si>
  <si>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</si>
  <si>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</si>
  <si>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</si>
  <si>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</si>
  <si>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</si>
  <si>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</si>
  <si>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</si>
  <si>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</si>
  <si>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</si>
  <si>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</si>
  <si>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</si>
  <si>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</si>
  <si>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</si>
  <si>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</si>
  <si>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</si>
  <si>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</si>
  <si>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</si>
  <si>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</si>
  <si>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</si>
  <si>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</si>
  <si>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</si>
  <si>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</si>
  <si>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</si>
  <si>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</si>
  <si>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</si>
  <si>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</si>
  <si>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</si>
  <si>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</si>
  <si>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</si>
  <si>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</si>
  <si>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</si>
  <si>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</si>
  <si>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</si>
  <si>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</si>
  <si>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</si>
  <si>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</si>
  <si>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</si>
  <si>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</si>
  <si>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</si>
  <si>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</si>
  <si>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</si>
  <si>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</si>
  <si>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</si>
  <si>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</si>
  <si>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</si>
  <si>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</si>
  <si>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</si>
  <si>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</si>
  <si>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</si>
  <si>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</si>
  <si>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</si>
  <si>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</si>
  <si>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</si>
  <si>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</si>
  <si>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</si>
  <si>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</si>
  <si>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</si>
  <si>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</si>
  <si>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</si>
  <si>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</si>
  <si>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</si>
  <si>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</si>
  <si>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</si>
  <si>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</si>
  <si>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</si>
  <si>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</si>
  <si>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</si>
  <si>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</si>
  <si>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</si>
  <si>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</si>
  <si>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</si>
  <si>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</si>
  <si>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</si>
  <si>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</si>
  <si>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</si>
  <si>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</si>
  <si>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</si>
  <si>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</si>
  <si>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</si>
  <si>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</si>
  <si>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</si>
  <si>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</si>
  <si>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</si>
  <si>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</si>
  <si>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</si>
  <si>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</si>
  <si>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</si>
  <si>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</si>
  <si>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</si>
  <si>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</si>
  <si>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</si>
  <si>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</si>
  <si>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</si>
  <si>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</si>
  <si>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</si>
  <si>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</si>
  <si>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</si>
  <si>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</si>
  <si>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</si>
  <si>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</si>
  <si>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</si>
  <si>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</si>
  <si>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</si>
  <si>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</si>
  <si>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</si>
  <si>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</si>
  <si>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</si>
  <si>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</si>
  <si>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</si>
  <si>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</si>
  <si>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</si>
  <si>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</si>
  <si>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</si>
  <si>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</si>
  <si>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</si>
  <si>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</si>
  <si>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</si>
  <si>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</si>
  <si>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</si>
  <si>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</si>
  <si>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</si>
  <si>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</si>
  <si>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</si>
  <si>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</si>
  <si>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</si>
  <si>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</si>
  <si>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</si>
  <si>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</si>
  <si>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</si>
  <si>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</si>
  <si>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</si>
  <si>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</si>
  <si>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</si>
  <si>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</si>
  <si>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</si>
  <si>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</si>
  <si>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</si>
  <si>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</si>
  <si>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</si>
  <si>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</si>
  <si>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</si>
  <si>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</si>
  <si>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</si>
  <si>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</si>
  <si>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</si>
  <si>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</si>
  <si>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</si>
  <si>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</si>
  <si>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</si>
  <si>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</si>
  <si>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</si>
  <si>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</si>
  <si>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</si>
  <si>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</si>
  <si>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</si>
  <si>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</si>
  <si>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</si>
  <si>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</si>
  <si>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</si>
  <si>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</si>
  <si>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</si>
  <si>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</si>
  <si>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</si>
  <si>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</si>
  <si>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</si>
  <si>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</si>
  <si>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</si>
  <si>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</si>
  <si>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</si>
  <si>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</si>
  <si>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</si>
  <si>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</si>
  <si>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</si>
  <si>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</si>
  <si>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</si>
  <si>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</si>
  <si>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</si>
  <si>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</si>
  <si>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</si>
  <si>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</si>
  <si>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</si>
  <si>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</si>
  <si>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</si>
  <si>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</si>
  <si>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</si>
  <si>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</si>
  <si>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</si>
  <si>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</si>
  <si>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</si>
  <si>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</si>
  <si>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</si>
  <si>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</si>
  <si>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</si>
  <si>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</si>
  <si>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</si>
  <si>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</si>
  <si>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</si>
  <si>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</si>
  <si>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</si>
  <si>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</si>
  <si>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</si>
  <si>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</si>
  <si>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</si>
  <si>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</si>
  <si>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</si>
  <si>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</si>
  <si>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</si>
  <si>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</si>
  <si>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</si>
  <si>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</si>
  <si>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</si>
  <si>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</si>
  <si>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</si>
  <si>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</si>
  <si>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</si>
  <si>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</si>
  <si>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</si>
  <si>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</si>
  <si>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</si>
  <si>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</si>
  <si>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</si>
  <si>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</si>
  <si>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</si>
  <si>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</si>
  <si>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</si>
  <si>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</si>
  <si>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</si>
  <si>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</si>
  <si>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</si>
  <si>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</si>
  <si>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</si>
  <si>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</si>
  <si>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</si>
  <si>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</si>
  <si>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</si>
  <si>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</si>
  <si>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</si>
  <si>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</si>
  <si>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</si>
  <si>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</si>
  <si>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</si>
  <si>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</si>
  <si>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</si>
  <si>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</si>
  <si>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</si>
  <si>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</si>
  <si>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</si>
  <si>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</si>
  <si>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</si>
  <si>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</si>
  <si>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</si>
  <si>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</si>
  <si>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</si>
  <si>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</si>
  <si>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</si>
  <si>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</si>
  <si>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</si>
  <si>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</si>
  <si>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</si>
  <si>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</si>
  <si>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</si>
  <si>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</si>
  <si>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</si>
  <si>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</si>
  <si>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</si>
  <si>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</si>
  <si>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</si>
  <si>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</si>
  <si>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</si>
  <si>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</si>
  <si>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</si>
  <si>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</si>
  <si>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</si>
  <si>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</si>
  <si>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</si>
  <si>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</si>
  <si>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</si>
  <si>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</si>
  <si>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</si>
  <si>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</si>
  <si>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</si>
  <si>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</si>
  <si>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</si>
  <si>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</si>
  <si>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</si>
  <si>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</si>
  <si>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</si>
  <si>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</si>
  <si>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</si>
  <si>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</si>
  <si>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</si>
  <si>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</si>
  <si>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</si>
  <si>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</si>
  <si>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</si>
  <si>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</si>
  <si>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</si>
  <si>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</si>
  <si>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</si>
  <si>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</si>
  <si>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</si>
  <si>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</si>
  <si>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</si>
  <si>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</si>
  <si>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</si>
  <si>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</si>
  <si>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</si>
  <si>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</si>
  <si>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</si>
  <si>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</si>
  <si>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</si>
  <si>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</si>
  <si>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</si>
  <si>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</si>
  <si>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</si>
  <si>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</si>
  <si>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</si>
  <si>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</si>
  <si>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</si>
  <si>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</si>
  <si>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</si>
  <si>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</si>
  <si>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</si>
  <si>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</si>
  <si>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</si>
  <si>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</si>
  <si>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</si>
  <si>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</si>
  <si>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</si>
  <si>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</si>
  <si>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</si>
  <si>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</si>
  <si>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</si>
  <si>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</si>
  <si>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</si>
  <si>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</si>
  <si>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</si>
  <si>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</si>
  <si>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</si>
  <si>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</si>
  <si>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</si>
  <si>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</si>
  <si>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</si>
  <si>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</si>
  <si>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</si>
  <si>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</si>
  <si>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</si>
  <si>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</si>
  <si>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</si>
  <si>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</si>
  <si>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</si>
  <si>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</si>
  <si>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</si>
  <si>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</si>
  <si>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</si>
  <si>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</si>
  <si>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</si>
  <si>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</si>
  <si>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</si>
  <si>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</si>
  <si>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</si>
  <si>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</si>
  <si>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</si>
  <si>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</si>
  <si>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</si>
  <si>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</si>
  <si>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</si>
  <si>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</si>
  <si>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</si>
  <si>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</si>
  <si>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</si>
  <si>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</si>
  <si>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</si>
  <si>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</si>
  <si>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</si>
  <si>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</si>
  <si>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</si>
  <si>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</si>
  <si>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</si>
  <si>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</si>
  <si>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</si>
  <si>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</si>
  <si>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</si>
  <si>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</si>
  <si>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</si>
  <si>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</si>
  <si>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</si>
  <si>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</si>
  <si>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</si>
  <si>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</si>
  <si>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</si>
  <si>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</si>
  <si>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</si>
  <si>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</si>
  <si>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</si>
  <si>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</si>
  <si>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</si>
  <si>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</si>
  <si>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</si>
  <si>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</si>
  <si>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</si>
  <si>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</si>
  <si>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</si>
  <si>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</si>
  <si>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</si>
  <si>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</si>
  <si>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</si>
  <si>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</si>
  <si>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</si>
  <si>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</si>
  <si>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</si>
  <si>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</si>
  <si>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</si>
  <si>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</si>
  <si>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</si>
  <si>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</si>
  <si>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</si>
  <si>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</si>
  <si>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</si>
  <si>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</si>
  <si>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</si>
  <si>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</si>
  <si>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</si>
  <si>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</si>
  <si>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</si>
  <si>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</si>
  <si>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</si>
  <si>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</si>
  <si>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</si>
  <si>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</si>
  <si>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</si>
  <si>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</si>
  <si>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</si>
  <si>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</si>
  <si>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</si>
  <si>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</si>
  <si>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</si>
  <si>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</si>
  <si>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</si>
  <si>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</si>
  <si>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</si>
  <si>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</si>
  <si>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</si>
  <si>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</si>
  <si>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</si>
  <si>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</si>
  <si>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</si>
  <si>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</si>
  <si>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</si>
  <si>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</si>
  <si>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</si>
  <si>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</si>
  <si>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</si>
  <si>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</si>
  <si>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</si>
  <si>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</si>
  <si>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</si>
  <si>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</si>
  <si>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</si>
  <si>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</si>
  <si>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</si>
  <si>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</si>
  <si>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</si>
  <si>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</si>
  <si>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</si>
  <si>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</si>
  <si>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</si>
  <si>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</si>
  <si>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</si>
  <si>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</si>
  <si>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</si>
  <si>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</si>
  <si>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</si>
  <si>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</si>
  <si>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</si>
  <si>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</si>
  <si>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</si>
  <si>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</si>
  <si>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</si>
  <si>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</si>
  <si>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</si>
  <si>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</si>
  <si>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</si>
  <si>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</si>
  <si>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</si>
  <si>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</si>
  <si>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</si>
  <si>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</si>
  <si>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</si>
  <si>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</si>
  <si>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</si>
  <si>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</si>
  <si>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</si>
  <si>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</si>
  <si>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</si>
  <si>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</si>
  <si>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</si>
  <si>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</si>
  <si>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</si>
  <si>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</si>
  <si>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</si>
  <si>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</si>
  <si>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</si>
  <si>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</si>
  <si>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</si>
  <si>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</si>
  <si>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</si>
  <si>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</si>
  <si>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</si>
  <si>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</si>
  <si>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</si>
  <si>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</si>
  <si>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</si>
  <si>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</si>
  <si>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</si>
  <si>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</si>
  <si>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</si>
  <si>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</si>
  <si>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</si>
  <si>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</si>
  <si>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</si>
  <si>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</si>
  <si>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</si>
  <si>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</si>
  <si>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</si>
  <si>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</si>
  <si>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</si>
  <si>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</si>
  <si>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</si>
  <si>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</si>
  <si>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</si>
  <si>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</si>
  <si>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</si>
  <si>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</si>
  <si>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</si>
  <si>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</si>
  <si>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</si>
  <si>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</si>
  <si>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</si>
  <si>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</si>
  <si>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</si>
  <si>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</si>
  <si>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</si>
  <si>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</si>
  <si>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</si>
  <si>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</si>
  <si>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</si>
  <si>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</si>
  <si>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</si>
  <si>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</si>
  <si>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</si>
  <si>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</si>
  <si>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</si>
  <si>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</si>
  <si>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</si>
  <si>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</si>
  <si>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</si>
  <si>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</si>
  <si>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</si>
  <si>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</si>
  <si>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</si>
  <si>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</si>
  <si>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</si>
  <si>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</si>
  <si>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</si>
  <si>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</si>
  <si>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</si>
  <si>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</si>
  <si>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</si>
  <si>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</si>
  <si>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</si>
  <si>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</si>
  <si>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</si>
  <si>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</si>
  <si>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</si>
  <si>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</si>
  <si>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</si>
  <si>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</si>
  <si>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</si>
  <si>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</si>
  <si>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</si>
  <si>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</si>
  <si>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</si>
  <si>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</si>
  <si>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</si>
  <si>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</si>
  <si>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</si>
  <si>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</si>
  <si>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</si>
  <si>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</si>
  <si>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</si>
  <si>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</si>
  <si>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</si>
  <si>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</si>
  <si>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</si>
  <si>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</si>
  <si>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</si>
  <si>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</si>
  <si>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</si>
  <si>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</si>
  <si>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</si>
  <si>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</si>
  <si>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</si>
  <si>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</si>
  <si>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</si>
  <si>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</si>
  <si>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</si>
  <si>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</si>
  <si>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</si>
  <si>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</si>
  <si>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</si>
  <si>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</si>
  <si>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</si>
  <si>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</si>
  <si>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</si>
  <si>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</si>
  <si>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</si>
  <si>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</si>
  <si>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</si>
  <si>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</si>
  <si>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</si>
  <si>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</si>
  <si>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</si>
  <si>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</si>
  <si>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</si>
  <si>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</si>
  <si>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</si>
  <si>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</si>
  <si>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</si>
  <si>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</si>
  <si>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</si>
  <si>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</si>
  <si>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</si>
  <si>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</si>
  <si>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</si>
  <si>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</si>
  <si>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</si>
  <si>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</si>
  <si>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</si>
  <si>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</si>
  <si>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</si>
  <si>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</si>
  <si>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</si>
  <si>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</si>
  <si>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</si>
  <si>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</si>
  <si>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</si>
  <si>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</si>
  <si>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</si>
  <si>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</si>
  <si>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</si>
  <si>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</si>
  <si>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</si>
  <si>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</si>
  <si>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</si>
  <si>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</si>
  <si>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</si>
  <si>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</si>
  <si>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</si>
  <si>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</si>
  <si>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</si>
  <si>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</si>
  <si>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</si>
  <si>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</si>
  <si>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</si>
  <si>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</si>
  <si>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</si>
  <si>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</si>
  <si>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</si>
  <si>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</si>
  <si>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</si>
  <si>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</si>
  <si>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</si>
  <si>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</si>
  <si>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</si>
  <si>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</si>
  <si>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</si>
  <si>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</si>
  <si>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</si>
  <si>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</si>
  <si>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</si>
  <si>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</si>
  <si>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</si>
  <si>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</si>
  <si>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</si>
  <si>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</si>
  <si>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</si>
  <si>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</si>
  <si>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</si>
  <si>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</si>
  <si>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</si>
  <si>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</si>
  <si>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</si>
  <si>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</si>
  <si>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</si>
  <si>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</si>
  <si>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</si>
  <si>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</si>
  <si>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</si>
  <si>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</si>
  <si>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</si>
  <si>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</si>
  <si>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</si>
  <si>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</si>
  <si>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</si>
  <si>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</si>
  <si>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</si>
  <si>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</si>
  <si>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</si>
  <si>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</si>
  <si>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</si>
  <si>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</si>
  <si>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</si>
  <si>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</si>
  <si>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</si>
  <si>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</si>
  <si>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</si>
  <si>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</si>
  <si>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</si>
  <si>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</si>
  <si>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</si>
  <si>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</si>
  <si>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</si>
  <si>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</si>
  <si>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</si>
  <si>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</si>
  <si>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</si>
  <si>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</si>
  <si>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</si>
  <si>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</si>
  <si>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</si>
  <si>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</si>
  <si>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</si>
  <si>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</si>
  <si>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</si>
  <si>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</si>
  <si>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</si>
  <si>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</si>
  <si>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</si>
  <si>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</si>
  <si>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</si>
  <si>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</si>
  <si>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</si>
  <si>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</si>
  <si>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</si>
  <si>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</si>
  <si>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</si>
  <si>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</si>
  <si>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</si>
  <si>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</si>
  <si>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</si>
  <si>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</si>
  <si>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</si>
  <si>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</si>
  <si>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</si>
  <si>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</si>
  <si>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</si>
  <si>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</si>
  <si>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</si>
  <si>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</si>
  <si>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</si>
  <si>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</si>
  <si>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</si>
  <si>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</si>
  <si>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</si>
  <si>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</si>
  <si>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</si>
  <si>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</si>
  <si>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</si>
  <si>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</si>
  <si>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</si>
  <si>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</si>
  <si>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</si>
  <si>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</si>
  <si>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</si>
  <si>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</si>
  <si>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</si>
  <si>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</si>
  <si>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</si>
  <si>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</si>
  <si>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</si>
  <si>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</si>
  <si>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</si>
  <si>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</si>
  <si>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</si>
  <si>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</si>
  <si>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</si>
  <si>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</si>
  <si>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</si>
  <si>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</si>
  <si>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</si>
  <si>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</si>
  <si>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</si>
  <si>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</si>
  <si>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</si>
  <si>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</si>
  <si>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</si>
  <si>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</si>
  <si>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</si>
  <si>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</si>
  <si>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</si>
  <si>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</si>
  <si>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</si>
  <si>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</si>
  <si>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</si>
  <si>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</si>
  <si>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</si>
  <si>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</si>
  <si>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</si>
  <si>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</si>
  <si>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</si>
  <si>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</si>
  <si>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</si>
  <si>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</si>
  <si>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</si>
  <si>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</si>
  <si>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</si>
  <si>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</si>
  <si>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</si>
  <si>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</si>
  <si>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</si>
  <si>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</si>
  <si>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</si>
  <si>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</si>
  <si>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</si>
  <si>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</si>
  <si>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</si>
  <si>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</si>
  <si>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</si>
  <si>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</si>
  <si>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</si>
  <si>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</si>
  <si>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</si>
  <si>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</si>
  <si>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</si>
  <si>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</si>
  <si>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</si>
  <si>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</si>
  <si>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</si>
  <si>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</si>
  <si>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</si>
  <si>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</si>
  <si>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</si>
  <si>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</si>
  <si>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</si>
  <si>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</si>
  <si>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</si>
  <si>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</si>
  <si>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</si>
  <si>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</si>
  <si>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</si>
  <si>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</si>
  <si>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</si>
  <si>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</si>
  <si>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</si>
  <si>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</si>
  <si>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</si>
  <si>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</si>
  <si>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</si>
  <si>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</si>
  <si>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</si>
  <si>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</si>
  <si>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</si>
  <si>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</si>
  <si>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</si>
  <si>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</si>
  <si>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</si>
  <si>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</si>
  <si>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</si>
  <si>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</si>
  <si>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</si>
  <si>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</si>
  <si>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</si>
  <si>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</si>
  <si>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</si>
  <si>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</si>
  <si>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</si>
  <si>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</si>
  <si>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</si>
  <si>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</si>
  <si>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</si>
  <si>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</si>
  <si>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</si>
  <si>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</si>
  <si>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</si>
  <si>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</si>
  <si>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</si>
  <si>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</si>
  <si>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</si>
  <si>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</si>
  <si>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</si>
  <si>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</si>
  <si>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</si>
  <si>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</si>
  <si>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</si>
  <si>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</si>
  <si>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</si>
  <si>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</si>
  <si>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</si>
  <si>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</si>
  <si>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</si>
  <si>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</si>
  <si>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</si>
  <si>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</si>
  <si>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</si>
  <si>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</si>
  <si>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</si>
  <si>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</si>
  <si>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</si>
  <si>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</si>
  <si>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</si>
  <si>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</si>
  <si>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</si>
  <si>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</si>
  <si>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</si>
  <si>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</si>
  <si>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</si>
  <si>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</si>
  <si>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</si>
  <si>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</si>
  <si>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</si>
  <si>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</si>
  <si>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</si>
  <si>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</si>
  <si>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</si>
  <si>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</si>
  <si>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</si>
  <si>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</si>
  <si>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</si>
  <si>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</si>
  <si>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</si>
  <si>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</si>
  <si>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</si>
  <si>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</si>
  <si>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</si>
  <si>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</si>
  <si>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</si>
  <si>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</si>
  <si>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</si>
  <si>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</si>
  <si>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</si>
  <si>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</si>
  <si>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</si>
  <si>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</si>
  <si>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</si>
  <si>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</si>
  <si>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</si>
  <si>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</si>
  <si>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</si>
  <si>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</si>
  <si>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</si>
  <si>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</si>
  <si>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</si>
  <si>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</si>
  <si>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</si>
  <si>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</si>
  <si>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</si>
  <si>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</si>
  <si>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</si>
  <si>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</si>
  <si>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</si>
  <si>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</si>
  <si>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</si>
  <si>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</si>
  <si>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</si>
  <si>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</si>
  <si>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</si>
  <si>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</si>
  <si>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</si>
  <si>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</si>
  <si>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</si>
  <si>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</si>
  <si>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</si>
  <si>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</si>
  <si>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</si>
  <si>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</si>
  <si>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</si>
  <si>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</si>
  <si>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</si>
  <si>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</si>
  <si>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</si>
  <si>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</si>
  <si>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</si>
  <si>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</si>
  <si>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</si>
  <si>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</si>
  <si>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</si>
  <si>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</si>
  <si>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</si>
  <si>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</si>
  <si>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</si>
  <si>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</si>
  <si>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</si>
  <si>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</si>
  <si>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</si>
  <si>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</si>
  <si>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</si>
  <si>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</si>
  <si>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</si>
  <si>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</si>
  <si>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</si>
  <si>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</si>
  <si>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</si>
  <si>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</si>
  <si>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</si>
  <si>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</si>
  <si>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</si>
  <si>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</si>
  <si>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</si>
  <si>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</si>
  <si>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</si>
  <si>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</si>
  <si>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</si>
  <si>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</si>
  <si>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</si>
  <si>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</si>
  <si>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</si>
  <si>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</si>
  <si>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</si>
  <si>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</si>
  <si>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</si>
  <si>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</si>
  <si>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</si>
  <si>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</si>
  <si>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</si>
  <si>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</si>
  <si>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</si>
  <si>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</si>
  <si>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</si>
  <si>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</si>
  <si>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</si>
  <si>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</si>
  <si>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</si>
  <si>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</si>
  <si>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</si>
  <si>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</si>
  <si>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</si>
  <si>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</si>
  <si>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</si>
  <si>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</si>
  <si>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</si>
  <si>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</si>
  <si>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</si>
  <si>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</si>
  <si>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</si>
  <si>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</si>
  <si>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</si>
  <si>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</si>
  <si>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</si>
  <si>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</si>
  <si>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</si>
  <si>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</si>
  <si>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</si>
  <si>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</si>
  <si>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</si>
  <si>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</si>
  <si>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</si>
  <si>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</si>
  <si>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</si>
  <si>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</si>
  <si>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</si>
  <si>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</si>
  <si>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</si>
  <si>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</si>
  <si>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</si>
  <si>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</si>
  <si>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</si>
  <si>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</si>
  <si>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</si>
  <si>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</si>
  <si>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</si>
  <si>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</si>
  <si>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</si>
  <si>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</si>
  <si>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</si>
  <si>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</si>
  <si>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</si>
  <si>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</si>
  <si>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</si>
  <si>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</si>
  <si>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</si>
  <si>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</si>
  <si>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</si>
  <si>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</si>
  <si>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</si>
  <si>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</si>
  <si>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</si>
  <si>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</si>
  <si>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</si>
  <si>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</si>
  <si>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</si>
  <si>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</si>
  <si>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</si>
  <si>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</si>
  <si>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</si>
  <si>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</si>
  <si>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</si>
  <si>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</si>
  <si>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</si>
  <si>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</si>
  <si>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</si>
  <si>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</si>
  <si>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</si>
  <si>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</si>
  <si>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</si>
  <si>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</si>
  <si>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</si>
  <si>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</si>
  <si>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</si>
  <si>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</si>
  <si>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</si>
  <si>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</si>
  <si>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</si>
  <si>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</si>
  <si>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</si>
  <si>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</si>
  <si>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</si>
  <si>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</si>
  <si>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</si>
  <si>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</si>
  <si>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</si>
  <si>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</si>
  <si>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</si>
  <si>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</si>
  <si>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</si>
  <si>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</si>
  <si>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</si>
  <si>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</si>
  <si>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</si>
  <si>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</si>
  <si>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</si>
  <si>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</si>
  <si>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</si>
  <si>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</si>
  <si>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</si>
  <si>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</si>
  <si>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</si>
  <si>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</si>
  <si>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</si>
  <si>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</si>
  <si>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</si>
  <si>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</si>
  <si>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</si>
  <si>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</si>
  <si>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</si>
  <si>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</si>
  <si>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</si>
  <si>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</si>
  <si>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</si>
  <si>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</si>
  <si>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</si>
  <si>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</si>
  <si>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</si>
  <si>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</si>
  <si>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</si>
  <si>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</si>
  <si>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</si>
  <si>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</si>
  <si>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</si>
  <si>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</si>
  <si>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</si>
  <si>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</si>
  <si>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</si>
  <si>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</si>
  <si>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</si>
  <si>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</si>
  <si>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</si>
  <si>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</si>
  <si>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</si>
  <si>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</si>
  <si>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</si>
  <si>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</si>
  <si>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</si>
  <si>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</si>
  <si>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</si>
  <si>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</si>
  <si>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</si>
  <si>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</si>
  <si>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</si>
  <si>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</si>
  <si>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</si>
  <si>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</si>
  <si>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</si>
  <si>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</si>
  <si>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</si>
  <si>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</si>
  <si>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</si>
  <si>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</si>
  <si>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</si>
  <si>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</si>
  <si>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</si>
  <si>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</si>
  <si>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</si>
  <si>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</si>
  <si>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</si>
  <si>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</si>
  <si>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</si>
  <si>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</si>
  <si>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</si>
  <si>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</si>
  <si>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</si>
  <si>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</si>
  <si>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</si>
  <si>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</si>
  <si>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</si>
  <si>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</si>
  <si>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</si>
  <si>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</si>
  <si>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</si>
  <si>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</si>
  <si>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</si>
  <si>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</si>
  <si>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</si>
  <si>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</si>
  <si>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</si>
  <si>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</si>
  <si>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</si>
  <si>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</si>
  <si>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</si>
  <si>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</si>
  <si>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</si>
  <si>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</si>
  <si>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</si>
  <si>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</si>
  <si>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</si>
  <si>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</si>
  <si>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</si>
  <si>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</si>
  <si>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</si>
  <si>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</si>
  <si>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</si>
  <si>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</si>
  <si>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</si>
  <si>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</si>
  <si>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</si>
  <si>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</si>
  <si>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</si>
  <si>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</si>
  <si>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</si>
  <si>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</si>
  <si>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</si>
  <si>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</si>
  <si>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</si>
  <si>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</si>
  <si>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</si>
  <si>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</si>
  <si>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</si>
  <si>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</si>
  <si>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</si>
  <si>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</si>
  <si>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</si>
  <si>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</si>
  <si>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</si>
  <si>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</si>
  <si>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</si>
  <si>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</si>
  <si>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</si>
  <si>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</si>
  <si>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</si>
  <si>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</si>
  <si>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</si>
  <si>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</si>
  <si>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</si>
  <si>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</si>
  <si>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</si>
  <si>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</si>
  <si>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</si>
  <si>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</si>
  <si>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</si>
  <si>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</si>
  <si>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</si>
  <si>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</si>
  <si>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</si>
  <si>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</si>
  <si>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</si>
  <si>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</si>
  <si>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</si>
  <si>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</si>
  <si>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</si>
  <si>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</si>
  <si>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</si>
  <si>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</si>
  <si>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</si>
  <si>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</si>
  <si>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</si>
  <si>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</si>
  <si>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</si>
  <si>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</si>
  <si>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</si>
  <si>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</si>
  <si>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</si>
  <si>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</si>
  <si>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</si>
  <si>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</si>
  <si>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</si>
  <si>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</si>
  <si>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</si>
  <si>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</si>
  <si>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</si>
  <si>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</si>
  <si>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</si>
  <si>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</si>
  <si>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</si>
  <si>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</si>
  <si>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</si>
  <si>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</si>
  <si>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</si>
  <si>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</si>
  <si>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</si>
  <si>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</si>
  <si>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</si>
  <si>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</si>
  <si>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</si>
  <si>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</si>
  <si>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</si>
  <si>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</si>
  <si>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</si>
  <si>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</si>
  <si>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</si>
  <si>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</si>
  <si>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</si>
  <si>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</si>
  <si>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</si>
  <si>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</si>
  <si>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</si>
  <si>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</si>
  <si>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</si>
  <si>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</si>
  <si>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</si>
  <si>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</si>
  <si>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</si>
  <si>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</si>
  <si>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</si>
  <si>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</si>
  <si>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</si>
  <si>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</si>
  <si>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</si>
  <si>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</si>
  <si>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</si>
  <si>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</si>
  <si>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</si>
  <si>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</si>
  <si>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</si>
  <si>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</si>
  <si>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</si>
  <si>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</si>
  <si>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</si>
  <si>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</si>
  <si>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</si>
  <si>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</si>
  <si>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</si>
  <si>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</si>
  <si>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</si>
  <si>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</si>
  <si>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</si>
  <si>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</si>
  <si>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</si>
  <si>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</si>
  <si>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</si>
  <si>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</si>
  <si>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</si>
  <si>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</si>
  <si>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</si>
  <si>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</si>
  <si>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</si>
  <si>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</si>
  <si>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</si>
  <si>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</si>
  <si>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</si>
  <si>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</si>
  <si>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</si>
  <si>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</si>
  <si>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</si>
  <si>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</si>
  <si>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</si>
  <si>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</si>
  <si>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</si>
  <si>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</si>
  <si>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</si>
  <si>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</si>
  <si>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</si>
  <si>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</si>
  <si>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</si>
  <si>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</si>
  <si>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</si>
  <si>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</si>
  <si>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</si>
  <si>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</si>
  <si>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</si>
  <si>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</si>
  <si>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</si>
  <si>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</si>
  <si>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</si>
  <si>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</si>
  <si>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</si>
  <si>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</si>
  <si>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</si>
  <si>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</si>
  <si>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</si>
  <si>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</si>
  <si>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</si>
  <si>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</si>
  <si>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</si>
  <si>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</si>
  <si>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</si>
  <si>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</si>
  <si>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</si>
  <si>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</si>
  <si>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</si>
  <si>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</si>
  <si>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</si>
  <si>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</si>
  <si>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</si>
  <si>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</si>
  <si>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</si>
  <si>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</si>
  <si>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</si>
  <si>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</si>
  <si>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</si>
  <si>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</si>
  <si>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</si>
  <si>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</si>
  <si>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</si>
  <si>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</si>
  <si>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</si>
  <si>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</si>
  <si>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</si>
  <si>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</si>
  <si>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</si>
  <si>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</si>
  <si>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</si>
  <si>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</si>
  <si>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</si>
  <si>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</si>
  <si>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</si>
  <si>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</si>
  <si>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</si>
  <si>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</si>
  <si>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</si>
  <si>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</si>
  <si>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</si>
  <si>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</si>
  <si>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</si>
  <si>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</si>
  <si>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</si>
  <si>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</si>
  <si>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</si>
  <si>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</si>
  <si>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</si>
  <si>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</si>
  <si>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</si>
  <si>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</si>
  <si>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</si>
  <si>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</si>
  <si>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</si>
  <si>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</si>
  <si>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</si>
  <si>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</si>
  <si>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</si>
  <si>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</si>
  <si>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</si>
  <si>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</si>
  <si>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</si>
  <si>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</si>
  <si>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</si>
  <si>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</si>
  <si>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</si>
  <si>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</si>
  <si>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</si>
  <si>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</si>
  <si>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</si>
  <si>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</si>
  <si>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</si>
  <si>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</si>
  <si>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</si>
  <si>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</si>
  <si>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</si>
  <si>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</si>
  <si>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</si>
  <si>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</si>
  <si>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</si>
  <si>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</si>
  <si>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</si>
  <si>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</si>
  <si>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</si>
  <si>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</si>
  <si>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</si>
  <si>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</si>
  <si>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</si>
  <si>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</si>
  <si>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</si>
  <si>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</si>
  <si>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</si>
  <si>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</si>
  <si>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</si>
  <si>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</si>
  <si>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</si>
  <si>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</si>
  <si>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</si>
  <si>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</si>
  <si>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</si>
  <si>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</si>
  <si>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</si>
  <si>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</si>
  <si>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</si>
  <si>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</si>
  <si>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</si>
  <si>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</si>
  <si>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</si>
  <si>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</si>
  <si>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</si>
  <si>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</si>
  <si>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</si>
  <si>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</si>
  <si>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</si>
  <si>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</si>
  <si>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</si>
  <si>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</si>
  <si>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</si>
  <si>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</si>
  <si>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</si>
  <si>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</si>
  <si>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</si>
  <si>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</si>
  <si>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</si>
  <si>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</si>
  <si>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</si>
  <si>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</si>
  <si>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</si>
  <si>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</si>
  <si>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</si>
  <si>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</si>
  <si>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</si>
  <si>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</si>
  <si>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</si>
  <si>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</si>
  <si>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</si>
  <si>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</si>
  <si>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</si>
  <si>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</si>
  <si>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</si>
  <si>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</si>
  <si>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</si>
  <si>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</si>
  <si>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</si>
  <si>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</si>
  <si>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</si>
  <si>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</si>
  <si>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</si>
  <si>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</si>
  <si>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</si>
  <si>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</si>
  <si>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</si>
  <si>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</si>
  <si>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</si>
  <si>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</si>
  <si>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</si>
  <si>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</si>
  <si>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</si>
  <si>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</si>
  <si>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</si>
  <si>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</si>
  <si>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</si>
  <si>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</si>
  <si>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</si>
  <si>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</si>
  <si>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</si>
  <si>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</si>
  <si>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</si>
  <si>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</si>
  <si>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</si>
  <si>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</si>
  <si>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</si>
  <si>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</si>
  <si>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</si>
  <si>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</si>
  <si>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</si>
  <si>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</si>
  <si>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</si>
  <si>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</si>
  <si>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</si>
  <si>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</si>
  <si>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</si>
  <si>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</si>
  <si>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</si>
  <si>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</si>
  <si>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</si>
  <si>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</si>
  <si>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</si>
  <si>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</si>
  <si>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</si>
  <si>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</si>
  <si>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</si>
  <si>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</si>
  <si>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</si>
  <si>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</si>
  <si>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</si>
  <si>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</si>
  <si>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</si>
  <si>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</si>
  <si>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</si>
  <si>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</si>
  <si>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</si>
  <si>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</si>
  <si>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</si>
  <si>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</si>
  <si>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</si>
  <si>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</si>
  <si>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</si>
  <si>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</si>
  <si>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</si>
  <si>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</si>
  <si>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</si>
  <si>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</si>
  <si>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</si>
  <si>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</si>
  <si>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</si>
  <si>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</si>
  <si>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</si>
  <si>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</si>
  <si>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</si>
  <si>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</si>
  <si>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</si>
  <si>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</si>
  <si>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</si>
  <si>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</si>
  <si>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</si>
  <si>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</si>
  <si>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</si>
  <si>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</si>
  <si>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</si>
  <si>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</si>
  <si>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</si>
  <si>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</si>
  <si>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</si>
  <si>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</si>
  <si>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</si>
  <si>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</si>
  <si>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</si>
  <si>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</si>
  <si>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</si>
  <si>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</si>
  <si>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</si>
  <si>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</si>
  <si>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</si>
  <si>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</si>
  <si>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</si>
  <si>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</si>
  <si>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</si>
  <si>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</si>
  <si>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</si>
  <si>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</si>
  <si>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</si>
  <si>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</si>
  <si>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</si>
  <si>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</si>
  <si>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</si>
  <si>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</si>
  <si>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</si>
  <si>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</si>
  <si>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</si>
  <si>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</si>
  <si>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</si>
  <si>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</si>
  <si>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</si>
  <si>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</si>
  <si>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</si>
  <si>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</si>
  <si>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</si>
  <si>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</si>
  <si>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</si>
  <si>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</si>
  <si>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</si>
  <si>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</si>
  <si>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</si>
  <si>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</si>
  <si>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</si>
  <si>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</si>
  <si>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</si>
  <si>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</si>
  <si>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</si>
  <si>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</si>
  <si>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</si>
  <si>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</si>
  <si>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</si>
  <si>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</si>
  <si>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</si>
  <si>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</si>
  <si>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</si>
  <si>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</si>
  <si>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</si>
  <si>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</si>
  <si>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</si>
  <si>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</si>
  <si>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</si>
  <si>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</si>
  <si>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</si>
  <si>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</si>
  <si>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</si>
  <si>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</si>
  <si>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</si>
  <si>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</si>
  <si>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</si>
  <si>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</si>
  <si>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</si>
  <si>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</si>
  <si>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</si>
  <si>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</si>
  <si>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</si>
  <si>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</si>
  <si>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</si>
  <si>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</si>
  <si>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</si>
  <si>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</si>
  <si>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</si>
  <si>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</si>
  <si>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</si>
  <si>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</si>
  <si>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</si>
  <si>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</si>
  <si>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</si>
  <si>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</si>
  <si>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</si>
  <si>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</si>
  <si>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</si>
  <si>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</si>
  <si>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</si>
  <si>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</si>
  <si>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</si>
  <si>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</si>
  <si>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</si>
  <si>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</si>
  <si>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</si>
  <si>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</si>
  <si>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</si>
  <si>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</si>
  <si>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</si>
  <si>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</si>
  <si>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</si>
  <si>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</si>
  <si>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</si>
  <si>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</si>
  <si>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</si>
  <si>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</si>
  <si>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</si>
  <si>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</si>
  <si>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</si>
  <si>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</si>
  <si>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</si>
  <si>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</si>
  <si>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</si>
  <si>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</si>
  <si>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</si>
  <si>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</si>
  <si>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</si>
  <si>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</si>
  <si>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</si>
  <si>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</si>
  <si>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</si>
  <si>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</si>
  <si>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</si>
  <si>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</si>
  <si>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</si>
  <si>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</si>
  <si>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</si>
  <si>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</si>
  <si>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</si>
  <si>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</si>
  <si>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</si>
  <si>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</si>
  <si>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</si>
  <si>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</si>
  <si>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</si>
  <si>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</si>
  <si>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</si>
  <si>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</si>
  <si>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</si>
  <si>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</si>
  <si>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</si>
  <si>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</si>
  <si>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</si>
  <si>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</si>
  <si>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</si>
  <si>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</si>
  <si>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</si>
  <si>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</si>
  <si>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</si>
  <si>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</si>
  <si>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</si>
  <si>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</si>
  <si>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</si>
  <si>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</si>
  <si>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</si>
  <si>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</si>
  <si>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</si>
  <si>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</si>
  <si>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</si>
  <si>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</si>
  <si>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</si>
  <si>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</si>
  <si>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</si>
  <si>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</si>
  <si>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</si>
  <si>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</si>
  <si>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</si>
  <si>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</si>
  <si>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</si>
  <si>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</si>
  <si>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</si>
  <si>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</si>
  <si>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</si>
  <si>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</si>
  <si>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</si>
  <si>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</si>
  <si>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</si>
  <si>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</si>
  <si>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</si>
  <si>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</si>
  <si>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</si>
  <si>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</si>
  <si>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</si>
  <si>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</si>
  <si>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</si>
  <si>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</si>
  <si>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</si>
  <si>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</si>
  <si>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</si>
  <si>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</si>
  <si>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</si>
  <si>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</si>
  <si>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</si>
  <si>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</si>
  <si>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</si>
  <si>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</si>
  <si>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</si>
  <si>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</si>
  <si>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</si>
  <si>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</si>
  <si>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</si>
  <si>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</si>
  <si>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</si>
  <si>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</si>
  <si>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</si>
  <si>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</si>
  <si>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</si>
  <si>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</si>
  <si>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</si>
  <si>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</si>
  <si>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</si>
  <si>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</si>
  <si>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</si>
  <si>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</si>
  <si>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</si>
  <si>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</si>
  <si>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</si>
  <si>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</si>
  <si>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</si>
  <si>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</si>
  <si>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</si>
  <si>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</si>
  <si>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</si>
  <si>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</si>
  <si>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</si>
  <si>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</si>
  <si>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</si>
  <si>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</si>
  <si>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</si>
  <si>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</si>
  <si>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</si>
  <si>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</si>
  <si>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</si>
  <si>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</si>
  <si>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</si>
  <si>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</si>
  <si>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</si>
  <si>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</si>
  <si>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</si>
  <si>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</si>
  <si>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</si>
  <si>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</si>
  <si>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</si>
  <si>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</si>
  <si>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</si>
  <si>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</si>
  <si>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</si>
  <si>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</si>
  <si>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</si>
  <si>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</si>
  <si>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</si>
  <si>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</si>
  <si>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</si>
  <si>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</si>
  <si>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</si>
  <si>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</si>
  <si>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</si>
  <si>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</si>
  <si>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</si>
  <si>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</si>
  <si>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</si>
  <si>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</si>
  <si>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</si>
  <si>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</si>
  <si>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</si>
  <si>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</si>
  <si>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</si>
  <si>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</si>
  <si>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</si>
  <si>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</si>
  <si>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</si>
  <si>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</si>
  <si>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</si>
  <si>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</si>
  <si>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</si>
  <si>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</si>
  <si>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</si>
  <si>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</si>
  <si>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</si>
  <si>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</si>
  <si>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</si>
  <si>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</si>
  <si>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</si>
  <si>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</si>
  <si>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</si>
  <si>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</si>
  <si>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</si>
  <si>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</si>
  <si>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</si>
  <si>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</si>
  <si>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</si>
  <si>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</si>
  <si>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</si>
  <si>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</si>
  <si>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</si>
  <si>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</si>
  <si>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</si>
  <si>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</si>
  <si>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</si>
  <si>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</si>
  <si>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</si>
  <si>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</si>
  <si>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</si>
  <si>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</si>
  <si>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</si>
  <si>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</si>
  <si>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</si>
  <si>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</si>
  <si>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</si>
  <si>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</si>
  <si>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</si>
  <si>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</si>
  <si>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</si>
  <si>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</si>
  <si>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</si>
  <si>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</si>
  <si>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</si>
  <si>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</si>
  <si>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</si>
  <si>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</si>
  <si>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</si>
  <si>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</si>
  <si>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</si>
  <si>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</si>
  <si>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</si>
  <si>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</si>
  <si>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</si>
  <si>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</si>
  <si>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</si>
  <si>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</si>
  <si>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</si>
  <si>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</si>
  <si>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</si>
  <si>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</si>
  <si>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</si>
  <si>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</si>
  <si>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</si>
  <si>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</si>
  <si>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</si>
  <si>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</si>
  <si>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</si>
  <si>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</si>
  <si>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</si>
  <si>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</si>
  <si>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</si>
  <si>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</si>
  <si>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</si>
  <si>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</si>
  <si>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</si>
  <si>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</si>
  <si>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</si>
  <si>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</si>
  <si>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</si>
  <si>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</si>
  <si>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</si>
  <si>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</si>
  <si>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</si>
  <si>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</si>
  <si>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</si>
  <si>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</si>
  <si>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</si>
  <si>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</si>
  <si>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</si>
  <si>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</si>
  <si>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</si>
  <si>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</si>
  <si>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</si>
  <si>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</si>
  <si>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</si>
  <si>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</si>
  <si>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</si>
  <si>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</si>
  <si>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</si>
  <si>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</si>
  <si>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</si>
  <si>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</si>
  <si>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</si>
  <si>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</si>
  <si>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</si>
  <si>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</si>
  <si>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</si>
  <si>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</si>
  <si>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</si>
  <si>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</si>
  <si>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</si>
  <si>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</si>
  <si>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</si>
  <si>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</si>
  <si>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</si>
  <si>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</si>
  <si>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</si>
  <si>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</si>
  <si>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</si>
  <si>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</si>
  <si>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</si>
  <si>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</si>
  <si>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</si>
  <si>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</si>
  <si>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</si>
  <si>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</si>
  <si>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</si>
  <si>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</si>
  <si>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</si>
  <si>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</si>
  <si>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</si>
  <si>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</si>
  <si>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</si>
  <si>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</si>
  <si>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</si>
  <si>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</si>
  <si>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</si>
  <si>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</si>
  <si>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</si>
  <si>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</si>
  <si>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</si>
  <si>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</si>
  <si>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</si>
  <si>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</si>
  <si>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</si>
  <si>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</si>
  <si>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</si>
  <si>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</si>
  <si>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</si>
  <si>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</si>
  <si>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</si>
  <si>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</si>
  <si>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</si>
  <si>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</si>
  <si>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</si>
  <si>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</si>
  <si>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</si>
  <si>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</si>
  <si>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</si>
  <si>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</si>
  <si>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</si>
  <si>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</si>
  <si>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</si>
  <si>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</si>
  <si>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</si>
  <si>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</si>
  <si>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</si>
  <si>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</si>
  <si>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</si>
  <si>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</si>
  <si>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</si>
  <si>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</si>
  <si>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</si>
  <si>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</si>
  <si>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</si>
  <si>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</si>
  <si>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</si>
  <si>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</si>
  <si>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</si>
  <si>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</si>
  <si>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</si>
  <si>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</si>
  <si>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</si>
  <si>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</si>
  <si>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</si>
  <si>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</si>
  <si>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</si>
  <si>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</si>
  <si>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</si>
  <si>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</si>
  <si>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</si>
  <si>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</si>
  <si>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</si>
  <si>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</si>
  <si>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</si>
  <si>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</si>
  <si>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</si>
  <si>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</si>
  <si>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</si>
  <si>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</si>
  <si>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</si>
  <si>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</si>
  <si>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</si>
  <si>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</si>
  <si>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</si>
  <si>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</si>
  <si>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</si>
  <si>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</si>
  <si>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</si>
  <si>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</si>
  <si>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</si>
  <si>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</si>
  <si>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</si>
  <si>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</si>
  <si>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</si>
  <si>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</si>
  <si>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</si>
  <si>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</si>
  <si>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</si>
  <si>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</si>
  <si>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</si>
  <si>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</si>
  <si>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</si>
  <si>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</si>
  <si>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</si>
  <si>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</si>
  <si>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</si>
  <si>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</si>
  <si>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</si>
  <si>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</si>
  <si>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</si>
  <si>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</si>
  <si>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</si>
  <si>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</si>
  <si>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</si>
  <si>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</si>
  <si>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</si>
  <si>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</si>
  <si>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</si>
  <si>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</si>
  <si>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</si>
  <si>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</si>
  <si>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</si>
  <si>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</si>
  <si>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</si>
  <si>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</si>
  <si>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</si>
  <si>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</si>
  <si>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</si>
  <si>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</si>
  <si>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</si>
  <si>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</si>
  <si>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</si>
  <si>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</si>
  <si>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</si>
  <si>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</si>
  <si>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</si>
  <si>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</si>
  <si>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</si>
  <si>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</si>
  <si>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</si>
  <si>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</si>
  <si>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</si>
  <si>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</si>
  <si>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</si>
  <si>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</si>
  <si>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</si>
  <si>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</si>
  <si>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</si>
  <si>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</si>
  <si>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</si>
  <si>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</si>
  <si>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</si>
  <si>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</si>
  <si>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</si>
  <si>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</si>
  <si>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</si>
  <si>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</si>
  <si>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</si>
  <si>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</si>
  <si>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</si>
  <si>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</si>
  <si>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</si>
  <si>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</si>
  <si>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</si>
  <si>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</si>
  <si>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</si>
  <si>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</si>
  <si>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</si>
  <si>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</si>
  <si>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</si>
  <si>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</si>
  <si>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</si>
  <si>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</si>
  <si>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</si>
  <si>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</si>
  <si>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</si>
  <si>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</si>
  <si>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</si>
  <si>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</si>
  <si>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</si>
  <si>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</si>
  <si>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</si>
  <si>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</si>
  <si>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</si>
  <si>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</si>
  <si>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</si>
  <si>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</si>
  <si>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</si>
  <si>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</si>
  <si>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</si>
  <si>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</si>
  <si>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</si>
  <si>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</si>
  <si>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</si>
  <si>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</si>
  <si>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</si>
  <si>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</si>
  <si>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</si>
  <si>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</si>
  <si>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</si>
  <si>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</si>
  <si>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</si>
  <si>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</si>
  <si>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</si>
  <si>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</si>
  <si>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</si>
  <si>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</si>
  <si>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</si>
  <si>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</si>
  <si>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</si>
  <si>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</si>
  <si>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</si>
  <si>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</si>
  <si>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</si>
  <si>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</si>
  <si>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</si>
  <si>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</si>
  <si>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</si>
  <si>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</si>
  <si>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</si>
  <si>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</si>
  <si>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</si>
  <si>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</si>
  <si>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</si>
  <si>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</si>
  <si>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</si>
  <si>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</si>
  <si>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</si>
  <si>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</si>
  <si>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</si>
  <si>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</si>
  <si>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</si>
  <si>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</si>
  <si>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</si>
  <si>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</si>
  <si>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</si>
  <si>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</si>
  <si>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</si>
  <si>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</si>
  <si>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</si>
  <si>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</si>
  <si>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</si>
  <si>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</si>
  <si>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</si>
  <si>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</si>
  <si>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</si>
  <si>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</si>
  <si>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</si>
  <si>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</si>
  <si>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</si>
  <si>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</si>
  <si>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</si>
  <si>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</si>
  <si>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</si>
  <si>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</si>
  <si>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</si>
  <si>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</si>
  <si>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</si>
  <si>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</si>
  <si>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</si>
  <si>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</si>
  <si>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</si>
  <si>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</si>
  <si>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</si>
  <si>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</si>
  <si>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</si>
  <si>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</si>
  <si>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</si>
  <si>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</si>
  <si>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</si>
  <si>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</si>
  <si>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</si>
  <si>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</si>
  <si>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</si>
  <si>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</si>
  <si>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</si>
  <si>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</si>
  <si>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</si>
  <si>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</si>
  <si>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</si>
  <si>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</si>
  <si>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</si>
  <si>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</si>
  <si>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</si>
  <si>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</si>
  <si>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</si>
  <si>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</si>
  <si>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</si>
  <si>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</si>
  <si>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</si>
  <si>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</si>
  <si>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</si>
  <si>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</si>
  <si>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</si>
  <si>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</si>
  <si>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</si>
  <si>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</si>
  <si>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</si>
  <si>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</si>
  <si>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</si>
  <si>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</si>
  <si>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</si>
  <si>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</si>
  <si>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</si>
  <si>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</si>
  <si>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</si>
  <si>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</si>
  <si>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</si>
  <si>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</si>
  <si>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</si>
  <si>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</si>
  <si>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</si>
  <si>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</si>
  <si>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</si>
  <si>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</si>
  <si>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</si>
  <si>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</si>
  <si>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</si>
  <si>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</si>
  <si>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</si>
  <si>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</si>
  <si>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</si>
  <si>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</si>
  <si>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</si>
  <si>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</si>
  <si>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</si>
  <si>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</si>
  <si>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</si>
  <si>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</si>
  <si>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</si>
  <si>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</si>
  <si>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</si>
  <si>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</si>
  <si>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</si>
  <si>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</si>
  <si>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</si>
  <si>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</si>
  <si>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</si>
  <si>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</si>
  <si>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</si>
  <si>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</si>
  <si>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</si>
  <si>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</si>
  <si>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</si>
  <si>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</si>
  <si>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</si>
  <si>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</si>
  <si>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</si>
  <si>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</si>
  <si>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</si>
  <si>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</si>
  <si>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</si>
  <si>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</si>
  <si>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</si>
  <si>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</si>
  <si>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</si>
  <si>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</si>
  <si>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</si>
  <si>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</si>
  <si>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</si>
  <si>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</si>
  <si>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</si>
  <si>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</si>
  <si>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</si>
  <si>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</si>
  <si>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</si>
  <si>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</si>
  <si>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</si>
  <si>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</si>
  <si>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</si>
  <si>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</si>
  <si>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</si>
  <si>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</si>
  <si>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</si>
  <si>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</si>
  <si>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</si>
  <si>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</si>
  <si>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</si>
  <si>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</si>
  <si>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</si>
  <si>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</si>
  <si>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</si>
  <si>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</si>
  <si>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</si>
  <si>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</si>
  <si>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</si>
  <si>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</si>
  <si>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</si>
  <si>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</si>
  <si>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</si>
  <si>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</si>
  <si>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</si>
  <si>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</si>
  <si>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</si>
  <si>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</si>
  <si>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</si>
  <si>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</si>
  <si>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</si>
  <si>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</si>
  <si>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</si>
  <si>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</si>
  <si>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</si>
  <si>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</si>
  <si>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</si>
  <si>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</si>
  <si>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</si>
  <si>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</si>
  <si>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</si>
  <si>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</si>
  <si>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</si>
  <si>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</si>
  <si>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</si>
  <si>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</si>
  <si>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</si>
  <si>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</si>
  <si>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</si>
  <si>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</si>
  <si>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</si>
  <si>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</si>
  <si>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</si>
  <si>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</si>
  <si>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</si>
  <si>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</si>
  <si>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</si>
  <si>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</si>
  <si>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</si>
  <si>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</si>
  <si>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</si>
  <si>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</si>
  <si>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</si>
  <si>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</si>
  <si>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</si>
  <si>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</si>
  <si>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</si>
  <si>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</si>
  <si>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</si>
  <si>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</si>
  <si>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</si>
  <si>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</si>
  <si>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</si>
  <si>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</si>
  <si>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</si>
  <si>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</si>
  <si>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</si>
  <si>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</si>
  <si>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</si>
  <si>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</si>
  <si>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</si>
  <si>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</si>
  <si>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</si>
  <si>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</si>
  <si>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</si>
  <si>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</si>
  <si>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</si>
  <si>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</si>
  <si>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</si>
  <si>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</si>
  <si>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</si>
  <si>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</si>
  <si>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</si>
  <si>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</si>
  <si>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</si>
  <si>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</si>
  <si>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</si>
  <si>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</si>
  <si>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</si>
  <si>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</si>
  <si>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</si>
  <si>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</si>
  <si>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</si>
  <si>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</si>
  <si>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</si>
  <si>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</si>
  <si>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</si>
  <si>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</si>
  <si>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</si>
  <si>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</si>
  <si>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</si>
  <si>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</si>
  <si>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</si>
  <si>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</si>
  <si>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</si>
  <si>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</si>
  <si>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</si>
  <si>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</si>
  <si>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</si>
  <si>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</si>
  <si>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</si>
  <si>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</si>
  <si>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</si>
  <si>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</si>
  <si>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</si>
  <si>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</si>
  <si>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</si>
  <si>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</si>
  <si>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</si>
  <si>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</si>
  <si>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</si>
  <si>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</si>
  <si>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</si>
  <si>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</si>
  <si>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</si>
  <si>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</si>
  <si>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</si>
  <si>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</si>
  <si>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</si>
  <si>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</si>
  <si>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</si>
  <si>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</si>
  <si>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</si>
  <si>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</si>
  <si>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</si>
  <si>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</si>
  <si>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</si>
  <si>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</si>
  <si>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</si>
  <si>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</si>
  <si>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</si>
  <si>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</si>
  <si>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</si>
  <si>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</si>
  <si>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</si>
  <si>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</si>
  <si>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</si>
  <si>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</si>
  <si>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</si>
  <si>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</si>
  <si>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</si>
  <si>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</si>
  <si>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</si>
  <si>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</si>
  <si>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</si>
  <si>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</si>
  <si>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</si>
  <si>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</si>
  <si>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</si>
  <si>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</si>
  <si>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</si>
  <si>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</si>
  <si>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</si>
  <si>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</si>
  <si>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</si>
  <si>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</si>
  <si>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</si>
  <si>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</si>
  <si>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</si>
  <si>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</si>
  <si>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</si>
  <si>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</si>
  <si>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</si>
  <si>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</si>
  <si>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</si>
  <si>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</si>
  <si>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</si>
  <si>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</si>
  <si>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</si>
  <si>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</si>
  <si>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</si>
  <si>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</si>
  <si>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</si>
  <si>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</si>
  <si>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</si>
  <si>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</si>
  <si>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</si>
  <si>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</si>
  <si>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</si>
  <si>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</si>
  <si>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</si>
  <si>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</si>
  <si>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</si>
  <si>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</si>
  <si>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</si>
  <si>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</si>
  <si>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</si>
  <si>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</si>
  <si>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</si>
  <si>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</si>
  <si>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</si>
  <si>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</si>
  <si>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</si>
  <si>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</si>
  <si>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</si>
  <si>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</si>
  <si>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</si>
  <si>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</si>
  <si>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</si>
  <si>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</si>
  <si>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</si>
  <si>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</si>
  <si>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</si>
  <si>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</si>
  <si>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</si>
  <si>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</si>
  <si>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</si>
  <si>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</si>
  <si>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</si>
  <si>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</si>
  <si>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</si>
  <si>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</si>
  <si>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</si>
  <si>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</si>
  <si>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</si>
  <si>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</si>
  <si>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</si>
  <si>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</si>
  <si>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</si>
  <si>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</si>
  <si>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</si>
  <si>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</si>
  <si>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</si>
  <si>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</si>
  <si>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</si>
  <si>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</si>
  <si>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</si>
  <si>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</si>
  <si>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</si>
  <si>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</si>
  <si>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</si>
  <si>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</si>
  <si>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</si>
  <si>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</si>
  <si>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</si>
  <si>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</si>
  <si>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</si>
  <si>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</si>
  <si>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</si>
  <si>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</si>
  <si>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</si>
  <si>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</si>
  <si>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</si>
  <si>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</si>
  <si>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</si>
  <si>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</si>
  <si>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</si>
  <si>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</si>
  <si>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</si>
  <si>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</si>
  <si>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</si>
  <si>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</si>
  <si>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</si>
  <si>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</si>
  <si>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</si>
  <si>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</si>
  <si>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</si>
  <si>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</si>
  <si>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</si>
  <si>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</si>
  <si>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</si>
  <si>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</si>
  <si>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</si>
  <si>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</si>
  <si>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</si>
  <si>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</si>
  <si>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</si>
  <si>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</si>
  <si>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</si>
  <si>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</si>
  <si>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</si>
  <si>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</si>
  <si>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</si>
  <si>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</si>
  <si>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</si>
  <si>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</si>
  <si>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</si>
  <si>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</si>
  <si>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</si>
  <si>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</si>
  <si>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</si>
  <si>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</si>
  <si>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</si>
  <si>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</si>
  <si>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</si>
  <si>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</si>
  <si>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</si>
  <si>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</si>
  <si>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</si>
  <si>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</si>
  <si>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</si>
  <si>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</si>
  <si>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</si>
  <si>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</si>
  <si>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</si>
  <si>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</si>
  <si>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</si>
  <si>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</si>
  <si>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</si>
  <si>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</si>
  <si>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</si>
  <si>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</si>
  <si>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</si>
  <si>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</si>
  <si>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</si>
  <si>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</si>
  <si>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</si>
  <si>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</si>
  <si>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</si>
  <si>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</si>
  <si>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</si>
  <si>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</si>
  <si>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</si>
  <si>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</si>
  <si>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</si>
  <si>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</si>
  <si>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</si>
  <si>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</si>
  <si>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</si>
  <si>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</si>
  <si>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</si>
  <si>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</si>
  <si>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</si>
  <si>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</si>
  <si>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</si>
  <si>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</si>
  <si>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</si>
  <si>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</si>
  <si>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</si>
  <si>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</si>
  <si>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</si>
  <si>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</si>
  <si>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</si>
  <si>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</si>
  <si>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</si>
  <si>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</si>
  <si>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</si>
  <si>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</si>
  <si>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</si>
  <si>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</si>
  <si>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</si>
  <si>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</si>
  <si>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</si>
  <si>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</si>
  <si>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</si>
  <si>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</si>
  <si>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</si>
  <si>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</si>
  <si>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</si>
  <si>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</si>
  <si>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</si>
  <si>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</si>
  <si>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</si>
  <si>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</si>
  <si>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</si>
  <si>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</si>
  <si>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</si>
  <si>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</si>
  <si>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</si>
  <si>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</si>
  <si>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</si>
  <si>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</si>
  <si>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</si>
  <si>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</si>
  <si>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</si>
  <si>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</si>
  <si>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</si>
  <si>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</si>
  <si>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</si>
  <si>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</si>
  <si>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</si>
  <si>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</si>
  <si>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</si>
  <si>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</si>
  <si>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</si>
  <si>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</si>
  <si>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</si>
  <si>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</si>
  <si>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</si>
  <si>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</si>
  <si>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</si>
  <si>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</si>
  <si>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</si>
  <si>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</si>
  <si>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</si>
  <si>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</si>
  <si>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</si>
  <si>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</si>
  <si>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</si>
  <si>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</si>
  <si>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</si>
  <si>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</si>
  <si>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</si>
  <si>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</si>
  <si>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</si>
  <si>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</si>
  <si>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</si>
  <si>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</si>
  <si>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</si>
  <si>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</si>
  <si>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</si>
  <si>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</si>
  <si>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</si>
  <si>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</si>
  <si>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</si>
  <si>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</si>
  <si>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</si>
  <si>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</si>
  <si>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</si>
  <si>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</si>
  <si>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</si>
  <si>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</si>
  <si>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</si>
  <si>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</si>
  <si>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</si>
  <si>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</si>
  <si>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</si>
  <si>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</si>
  <si>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</si>
  <si>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</si>
  <si>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</si>
  <si>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</si>
  <si>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</si>
  <si>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</si>
  <si>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</si>
  <si>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</si>
  <si>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</si>
  <si>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</si>
  <si>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</si>
  <si>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</si>
  <si>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</si>
  <si>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</si>
  <si>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</si>
  <si>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</si>
  <si>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</si>
  <si>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</si>
  <si>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</si>
  <si>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</si>
  <si>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</si>
  <si>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</si>
  <si>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</si>
  <si>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</si>
  <si>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</si>
  <si>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</si>
  <si>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</si>
  <si>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</si>
  <si>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</si>
  <si>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</si>
  <si>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</si>
  <si>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</si>
  <si>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</si>
  <si>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</si>
  <si>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</si>
  <si>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</si>
  <si>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</si>
  <si>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</si>
  <si>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</si>
  <si>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</si>
  <si>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</si>
  <si>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</si>
  <si>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</si>
  <si>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</si>
  <si>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</si>
  <si>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</si>
  <si>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</si>
  <si>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</si>
  <si>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</si>
  <si>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</si>
  <si>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</si>
  <si>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</si>
  <si>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</si>
  <si>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</si>
  <si>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</si>
  <si>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</si>
  <si>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</si>
  <si>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</si>
  <si>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</si>
  <si>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</si>
  <si>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</si>
  <si>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</si>
  <si>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</si>
  <si>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</si>
  <si>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</si>
  <si>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</si>
  <si>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</si>
  <si>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</si>
  <si>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</si>
  <si>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</si>
  <si>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</si>
  <si>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</si>
  <si>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</si>
  <si>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</si>
  <si>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</si>
  <si>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</si>
  <si>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</si>
  <si>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</si>
  <si>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</si>
  <si>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</si>
  <si>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</si>
  <si>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</si>
  <si>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</si>
  <si>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</si>
  <si>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</si>
  <si>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</si>
  <si>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</si>
  <si>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</si>
  <si>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</si>
  <si>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</si>
  <si>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</si>
  <si>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</si>
  <si>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</si>
  <si>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</si>
  <si>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</si>
  <si>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</si>
  <si>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</si>
  <si>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</si>
  <si>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</si>
  <si>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</si>
  <si>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</si>
  <si>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</si>
  <si>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</si>
  <si>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</si>
  <si>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</si>
  <si>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</si>
  <si>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</si>
  <si>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</si>
  <si>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</si>
  <si>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</si>
  <si>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</si>
  <si>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</si>
  <si>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</si>
  <si>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</si>
  <si>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</si>
  <si>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</si>
  <si>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</si>
  <si>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</si>
  <si>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</si>
  <si>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</si>
  <si>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</si>
  <si>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</si>
  <si>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</si>
  <si>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</si>
  <si>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</si>
  <si>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</si>
  <si>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</si>
  <si>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</si>
  <si>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</si>
  <si>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</si>
  <si>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</si>
  <si>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</si>
  <si>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</si>
  <si>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</si>
  <si>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</si>
  <si>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</si>
  <si>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</si>
  <si>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</si>
  <si>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</si>
  <si>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</si>
  <si>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</si>
  <si>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</si>
  <si>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</si>
  <si>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</si>
  <si>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</si>
  <si>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</si>
  <si>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</si>
  <si>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</si>
  <si>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</si>
  <si>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</si>
  <si>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</si>
  <si>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</si>
  <si>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</si>
  <si>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</si>
  <si>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</si>
  <si>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</si>
  <si>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</si>
  <si>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</si>
  <si>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</si>
  <si>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</si>
  <si>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</si>
  <si>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</si>
  <si>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</si>
  <si>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</si>
  <si>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</si>
  <si>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</si>
  <si>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</si>
  <si>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</si>
  <si>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</si>
  <si>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</si>
  <si>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</si>
  <si>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</si>
  <si>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</si>
  <si>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</si>
  <si>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</si>
  <si>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</si>
  <si>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</si>
  <si>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</si>
  <si>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</si>
  <si>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</si>
  <si>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</si>
  <si>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</si>
  <si>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</si>
  <si>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</si>
  <si>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</si>
  <si>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</si>
  <si>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</si>
  <si>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</si>
  <si>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</si>
  <si>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</si>
  <si>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</si>
  <si>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</si>
  <si>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</si>
  <si>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</si>
  <si>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</si>
  <si>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</si>
  <si>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</si>
  <si>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</si>
  <si>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</si>
  <si>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</si>
  <si>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</si>
  <si>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</si>
  <si>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</si>
  <si>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</si>
  <si>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</si>
  <si>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</si>
  <si>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</si>
  <si>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</si>
  <si>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</si>
  <si>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</si>
  <si>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</si>
  <si>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</si>
  <si>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</si>
  <si>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</si>
  <si>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</si>
  <si>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</si>
  <si>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</si>
  <si>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</si>
  <si>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</si>
  <si>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</si>
  <si>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</si>
  <si>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</si>
  <si>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</si>
  <si>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</si>
  <si>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</si>
  <si>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</si>
  <si>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</si>
  <si>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</si>
  <si>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</si>
  <si>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</si>
  <si>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</si>
  <si>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</si>
  <si>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</si>
  <si>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</si>
  <si>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</si>
  <si>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</si>
  <si>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</si>
  <si>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</si>
  <si>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</si>
  <si>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</si>
  <si>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</si>
  <si>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</si>
  <si>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</si>
  <si>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</si>
  <si>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</si>
  <si>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</si>
  <si>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</si>
  <si>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</si>
  <si>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</si>
  <si>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</si>
  <si>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</si>
  <si>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</si>
  <si>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</si>
  <si>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</si>
  <si>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</si>
  <si>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</si>
  <si>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</si>
  <si>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</si>
  <si>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</si>
  <si>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</si>
  <si>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</si>
  <si>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</si>
  <si>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</si>
  <si>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</si>
  <si>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</si>
  <si>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</si>
  <si>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</si>
  <si>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</si>
  <si>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</si>
  <si>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</si>
  <si>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</si>
  <si>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</si>
  <si>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</si>
  <si>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</si>
  <si>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</si>
  <si>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</si>
  <si>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</si>
  <si>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</si>
  <si>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</si>
  <si>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</si>
  <si>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</si>
  <si>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</si>
  <si>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</si>
  <si>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</si>
  <si>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</si>
  <si>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</si>
  <si>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</si>
  <si>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</si>
  <si>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</si>
  <si>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</si>
  <si>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</si>
  <si>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</si>
  <si>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</si>
  <si>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</si>
  <si>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</si>
  <si>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</si>
  <si>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</si>
  <si>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</si>
  <si>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</si>
  <si>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</si>
  <si>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</si>
  <si>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</si>
  <si>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</si>
  <si>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</si>
  <si>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</si>
  <si>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</si>
  <si>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</si>
  <si>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</si>
  <si>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</si>
  <si>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</si>
  <si>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</si>
  <si>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</si>
  <si>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</si>
  <si>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</si>
  <si>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</si>
  <si>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</si>
  <si>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</si>
  <si>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</si>
  <si>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</si>
  <si>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</si>
  <si>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</si>
  <si>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</si>
  <si>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</si>
  <si>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</si>
  <si>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</si>
  <si>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</si>
  <si>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</si>
  <si>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</si>
  <si>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</si>
  <si>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</si>
  <si>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</si>
  <si>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</si>
  <si>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</si>
  <si>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</si>
  <si>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</si>
  <si>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</si>
  <si>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</si>
  <si>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</si>
  <si>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</si>
  <si>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</si>
  <si>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</si>
  <si>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</si>
  <si>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</si>
  <si>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</si>
  <si>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</si>
  <si>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</si>
  <si>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</si>
  <si>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</si>
  <si>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</si>
  <si>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</si>
  <si>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</si>
  <si>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</si>
  <si>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</si>
  <si>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</si>
  <si>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</si>
  <si>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</si>
  <si>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</si>
  <si>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</si>
  <si>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</si>
  <si>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</si>
  <si>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</si>
  <si>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</si>
  <si>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</si>
  <si>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</si>
  <si>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</si>
  <si>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</si>
  <si>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</si>
  <si>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</si>
  <si>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</si>
  <si>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</si>
  <si>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</si>
  <si>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</si>
  <si>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</si>
  <si>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</si>
  <si>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</si>
  <si>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</si>
  <si>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</si>
  <si>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</si>
  <si>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</si>
  <si>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</si>
  <si>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</si>
  <si>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</si>
  <si>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</si>
  <si>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</si>
  <si>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</si>
  <si>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</si>
  <si>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</si>
  <si>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</si>
  <si>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</si>
  <si>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</si>
  <si>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</si>
  <si>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</si>
  <si>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</si>
  <si>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</si>
  <si>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</si>
  <si>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</si>
  <si>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</si>
  <si>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</si>
  <si>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</si>
  <si>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</si>
  <si>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</si>
  <si>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</si>
  <si>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</si>
  <si>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</si>
  <si>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</si>
  <si>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</si>
  <si>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</si>
  <si>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</si>
  <si>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</si>
  <si>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</si>
  <si>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</si>
  <si>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</si>
  <si>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</si>
  <si>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</si>
  <si>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</si>
  <si>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</si>
  <si>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</si>
  <si>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</si>
  <si>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</si>
  <si>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</si>
  <si>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</si>
  <si>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</si>
  <si>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</si>
  <si>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</si>
  <si>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</si>
  <si>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</si>
  <si>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</si>
  <si>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</si>
  <si>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</si>
  <si>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</si>
  <si>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</si>
  <si>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</si>
  <si>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</si>
  <si>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</si>
  <si>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</si>
  <si>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</si>
  <si>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</si>
  <si>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</si>
  <si>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</si>
  <si>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</si>
  <si>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</si>
  <si>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</si>
  <si>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</si>
  <si>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</si>
  <si>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</si>
  <si>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</si>
  <si>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</si>
  <si>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</si>
  <si>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</si>
  <si>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</si>
  <si>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</si>
  <si>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</si>
  <si>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</si>
  <si>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</si>
  <si>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</si>
  <si>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</si>
  <si>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</si>
  <si>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</si>
  <si>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</si>
  <si>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</si>
  <si>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</si>
  <si>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</si>
  <si>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</si>
  <si>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</si>
  <si>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</si>
  <si>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</si>
  <si>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</si>
  <si>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</si>
  <si>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</si>
  <si>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</si>
  <si>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</si>
  <si>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</si>
  <si>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</si>
  <si>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</si>
  <si>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</si>
  <si>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</si>
  <si>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</si>
  <si>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</si>
  <si>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</si>
  <si>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</si>
  <si>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</si>
  <si>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</si>
  <si>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</si>
  <si>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</si>
  <si>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</si>
  <si>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</si>
  <si>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</si>
  <si>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</si>
  <si>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</si>
  <si>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</si>
  <si>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</si>
  <si>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</si>
  <si>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</si>
  <si>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</si>
  <si>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</si>
  <si>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</si>
  <si>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</si>
  <si>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</si>
  <si>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</si>
  <si>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</si>
  <si>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</si>
  <si>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</si>
  <si>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</si>
  <si>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</si>
  <si>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</si>
  <si>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</si>
  <si>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</si>
  <si>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</si>
  <si>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</si>
  <si>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</si>
  <si>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</si>
  <si>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</si>
  <si>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</si>
  <si>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</si>
  <si>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</si>
  <si>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</si>
  <si>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</si>
  <si>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</si>
  <si>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</si>
  <si>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</si>
  <si>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</si>
  <si>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</si>
  <si>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</si>
  <si>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</si>
  <si>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</si>
  <si>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</si>
  <si>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</si>
  <si>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</si>
  <si>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</si>
  <si>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</si>
  <si>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</si>
  <si>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</si>
  <si>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</si>
  <si>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</si>
  <si>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</si>
  <si>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</si>
  <si>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</si>
  <si>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</si>
  <si>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</si>
  <si>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</si>
  <si>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</si>
  <si>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</si>
  <si>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</si>
  <si>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</si>
  <si>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</si>
  <si>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</si>
  <si>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</si>
  <si>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</si>
  <si>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</si>
  <si>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</si>
  <si>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</si>
  <si>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</si>
  <si>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</si>
  <si>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</si>
  <si>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</si>
  <si>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</si>
  <si>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</si>
  <si>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</si>
  <si>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</si>
  <si>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</si>
  <si>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</si>
  <si>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</si>
  <si>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</si>
  <si>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</si>
  <si>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</si>
  <si>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</si>
  <si>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</si>
  <si>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</si>
  <si>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</si>
  <si>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</si>
  <si>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</si>
  <si>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</si>
  <si>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</si>
  <si>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</si>
  <si>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</si>
  <si>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</si>
  <si>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</si>
  <si>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</si>
  <si>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</si>
  <si>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</si>
  <si>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</si>
  <si>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</si>
  <si>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</si>
  <si>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</si>
  <si>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</si>
  <si>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</si>
  <si>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</si>
  <si>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</si>
  <si>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</si>
  <si>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</si>
  <si>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</si>
  <si>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</si>
  <si>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</si>
  <si>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</si>
  <si>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</si>
  <si>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</si>
  <si>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</si>
  <si>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</si>
  <si>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</si>
  <si>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</si>
  <si>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</si>
  <si>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</si>
  <si>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</si>
  <si>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</si>
  <si>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</si>
  <si>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</si>
  <si>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</si>
  <si>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</si>
  <si>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</si>
  <si>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</si>
  <si>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</si>
  <si>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</si>
  <si>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</si>
  <si>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</si>
  <si>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</si>
  <si>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</si>
  <si>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</si>
  <si>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</si>
  <si>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</si>
  <si>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</si>
  <si>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</si>
  <si>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</si>
  <si>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</si>
  <si>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</si>
  <si>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</si>
  <si>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</si>
  <si>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</si>
  <si>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</si>
  <si>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</si>
  <si>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</si>
  <si>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</si>
  <si>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</si>
  <si>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</si>
  <si>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</si>
  <si>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</si>
  <si>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</si>
  <si>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</si>
  <si>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</si>
  <si>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</si>
  <si>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</si>
  <si>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</si>
  <si>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</si>
  <si>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</si>
  <si>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</si>
  <si>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</si>
  <si>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</si>
  <si>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</si>
  <si>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</si>
  <si>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</si>
  <si>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</si>
  <si>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</si>
  <si>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</si>
  <si>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</si>
  <si>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</si>
  <si>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</si>
  <si>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</si>
  <si>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</si>
  <si>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</si>
  <si>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</si>
  <si>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</si>
  <si>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</si>
  <si>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</si>
  <si>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</si>
  <si>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</si>
  <si>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</si>
  <si>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</si>
  <si>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</si>
  <si>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</si>
  <si>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</si>
  <si>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</si>
  <si>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</si>
  <si>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</si>
  <si>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</si>
  <si>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</si>
  <si>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</si>
  <si>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</si>
  <si>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</si>
  <si>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</si>
  <si>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</si>
  <si>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</si>
  <si>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</si>
  <si>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</si>
  <si>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</si>
  <si>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</si>
  <si>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</si>
  <si>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</si>
  <si>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</si>
  <si>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</si>
  <si>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</si>
  <si>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</si>
  <si>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</si>
  <si>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</si>
  <si>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</si>
  <si>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</si>
  <si>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</si>
  <si>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</si>
  <si>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</si>
  <si>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</si>
  <si>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</si>
  <si>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</si>
  <si>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</si>
  <si>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</si>
  <si>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</si>
  <si>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</si>
  <si>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</si>
  <si>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</si>
  <si>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</si>
  <si>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</si>
  <si>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</si>
  <si>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</si>
  <si>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</si>
  <si>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</si>
  <si>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</si>
  <si>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</si>
  <si>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</si>
  <si>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</si>
  <si>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</si>
  <si>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</si>
  <si>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</si>
  <si>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</si>
  <si>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</si>
  <si>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</si>
  <si>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</si>
  <si>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</si>
  <si>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</si>
  <si>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</si>
  <si>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</si>
  <si>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</si>
  <si>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</si>
  <si>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</si>
  <si>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</si>
  <si>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</si>
  <si>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</si>
  <si>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</si>
  <si>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</si>
  <si>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</si>
  <si>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</si>
  <si>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</si>
  <si>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</si>
  <si>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</si>
  <si>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</si>
  <si>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</si>
  <si>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</si>
  <si>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</si>
  <si>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</si>
  <si>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</si>
  <si>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</si>
  <si>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</si>
  <si>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</si>
  <si>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</si>
  <si>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</si>
  <si>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</si>
  <si>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</si>
  <si>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</si>
  <si>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</si>
  <si>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</si>
  <si>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</si>
  <si>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</si>
  <si>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</si>
  <si>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</si>
  <si>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</si>
  <si>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</si>
  <si>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</si>
  <si>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</si>
  <si>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</si>
  <si>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</si>
  <si>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</si>
  <si>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</si>
  <si>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</si>
  <si>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</si>
  <si>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</si>
  <si>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</si>
  <si>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</si>
  <si>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</si>
  <si>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</si>
  <si>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</si>
  <si>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</si>
  <si>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</si>
  <si>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</si>
  <si>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</si>
  <si>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</si>
  <si>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</si>
  <si>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</si>
  <si>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</si>
  <si>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</si>
  <si>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</si>
  <si>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</si>
  <si>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</si>
  <si>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</si>
  <si>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</si>
  <si>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</si>
  <si>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</si>
  <si>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</si>
  <si>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</si>
  <si>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</si>
  <si>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</si>
  <si>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</si>
  <si>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</si>
  <si>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</si>
  <si>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</si>
  <si>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</si>
  <si>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</si>
  <si>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</si>
  <si>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</si>
  <si>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</si>
  <si>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</si>
  <si>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</si>
  <si>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</si>
  <si>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</si>
  <si>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</si>
  <si>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</si>
  <si>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</si>
  <si>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</si>
  <si>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</si>
  <si>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</si>
  <si>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</si>
  <si>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</si>
  <si>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</si>
  <si>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</si>
  <si>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</si>
  <si>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</si>
  <si>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</si>
  <si>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</si>
  <si>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</si>
  <si>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</si>
  <si>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</si>
  <si>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</si>
  <si>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</si>
  <si>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</si>
  <si>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</si>
  <si>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</si>
  <si>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</si>
  <si>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</si>
  <si>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</si>
  <si>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</si>
  <si>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</si>
  <si>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</si>
  <si>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</si>
  <si>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</si>
  <si>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</si>
  <si>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</si>
  <si>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</si>
  <si>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</si>
  <si>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</si>
  <si>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</si>
  <si>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</si>
  <si>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</si>
  <si>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</si>
  <si>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</si>
  <si>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</si>
  <si>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</si>
  <si>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</si>
  <si>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</si>
  <si>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</si>
  <si>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</si>
  <si>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</si>
  <si>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</si>
  <si>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</si>
  <si>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</si>
  <si>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</si>
  <si>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</si>
  <si>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</si>
  <si>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</si>
  <si>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</si>
  <si>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</si>
  <si>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</si>
  <si>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</si>
  <si>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</si>
  <si>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</si>
  <si>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</si>
  <si>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</si>
  <si>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</si>
  <si>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</si>
  <si>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</si>
  <si>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</si>
  <si>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</si>
  <si>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</si>
  <si>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</si>
  <si>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</si>
  <si>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</si>
  <si>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</si>
  <si>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</si>
  <si>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</si>
  <si>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</si>
  <si>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</si>
  <si>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</si>
  <si>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</si>
  <si>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</si>
  <si>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</si>
  <si>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</si>
  <si>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</si>
  <si>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</si>
  <si>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</si>
  <si>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</si>
  <si>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</si>
  <si>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</si>
  <si>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</si>
  <si>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</si>
  <si>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</si>
  <si>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</si>
  <si>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</si>
  <si>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</si>
  <si>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</si>
  <si>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</si>
  <si>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</si>
  <si>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</si>
  <si>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</si>
  <si>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</si>
  <si>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</si>
  <si>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</si>
  <si>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</si>
  <si>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</si>
  <si>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</si>
  <si>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</si>
  <si>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</si>
  <si>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</si>
  <si>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</si>
  <si>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</si>
  <si>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</si>
  <si>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</si>
  <si>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</si>
  <si>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</si>
  <si>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</si>
  <si>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</si>
  <si>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</si>
  <si>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</si>
  <si>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</si>
  <si>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</si>
  <si>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</si>
  <si>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</si>
  <si>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</si>
  <si>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</si>
  <si>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</si>
  <si>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</si>
  <si>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</si>
  <si>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</si>
  <si>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</si>
  <si>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</si>
  <si>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</si>
  <si>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</si>
  <si>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</si>
  <si>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</si>
  <si>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</si>
  <si>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</si>
  <si>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</si>
  <si>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</si>
  <si>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</si>
  <si>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</si>
  <si>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</si>
  <si>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</si>
  <si>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</si>
  <si>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</si>
  <si>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</si>
  <si>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</si>
  <si>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</si>
  <si>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</si>
  <si>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</si>
  <si>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</si>
  <si>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</si>
  <si>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</si>
  <si>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</si>
  <si>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</si>
  <si>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</si>
  <si>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</si>
  <si>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</si>
  <si>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</si>
  <si>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</si>
  <si>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</si>
  <si>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</si>
  <si>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</si>
  <si>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</si>
  <si>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</si>
  <si>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</si>
  <si>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</si>
  <si>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</si>
  <si>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</si>
  <si>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</si>
  <si>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</si>
  <si>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</si>
  <si>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</si>
  <si>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</si>
  <si>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</si>
  <si>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</si>
  <si>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</si>
  <si>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</si>
  <si>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</si>
  <si>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</si>
  <si>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</si>
  <si>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</si>
  <si>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</si>
  <si>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</si>
  <si>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</si>
  <si>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</si>
  <si>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</si>
  <si>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</si>
  <si>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</si>
  <si>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</si>
  <si>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</si>
  <si>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</si>
  <si>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</si>
  <si>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</si>
  <si>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</si>
  <si>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</si>
  <si>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</si>
  <si>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</si>
  <si>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</si>
  <si>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</si>
  <si>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</si>
  <si>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</si>
  <si>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</si>
  <si>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</si>
  <si>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</si>
  <si>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</si>
  <si>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</si>
  <si>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</si>
  <si>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</si>
  <si>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</si>
  <si>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</si>
  <si>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</si>
  <si>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</si>
  <si>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</si>
  <si>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</si>
  <si>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</si>
  <si>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</si>
  <si>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</si>
  <si>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</si>
  <si>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</si>
  <si>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</si>
  <si>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</si>
  <si>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</si>
  <si>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</si>
  <si>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</si>
  <si>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</si>
  <si>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</si>
  <si>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</si>
  <si>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</si>
  <si>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</si>
  <si>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</si>
  <si>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</si>
  <si>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</si>
  <si>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</si>
  <si>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</si>
  <si>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</si>
  <si>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</si>
  <si>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</si>
  <si>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</si>
  <si>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</si>
  <si>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</si>
  <si>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</si>
  <si>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</si>
  <si>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</si>
  <si>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</si>
  <si>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</si>
  <si>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</si>
  <si>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</si>
  <si>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</si>
  <si>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</si>
  <si>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</si>
  <si>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</si>
  <si>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</si>
  <si>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</si>
  <si>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</si>
  <si>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</si>
  <si>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</si>
  <si>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</si>
  <si>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</si>
  <si>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</si>
  <si>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</si>
  <si>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</si>
  <si>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</si>
  <si>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</si>
  <si>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</si>
  <si>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</si>
  <si>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</si>
  <si>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</si>
  <si>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</si>
  <si>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</si>
  <si>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</si>
  <si>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</si>
  <si>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</si>
  <si>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</si>
  <si>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</si>
  <si>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</si>
  <si>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</si>
  <si>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</si>
  <si>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</si>
  <si>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</si>
  <si>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</si>
  <si>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</si>
  <si>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</si>
  <si>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</si>
  <si>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</si>
  <si>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</si>
  <si>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</si>
  <si>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</si>
  <si>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</si>
  <si>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</si>
  <si>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</si>
  <si>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</si>
  <si>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</si>
  <si>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</si>
  <si>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</si>
  <si>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</si>
  <si>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</si>
  <si>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</si>
  <si>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</si>
  <si>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</si>
  <si>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</si>
  <si>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</si>
  <si>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</si>
  <si>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</si>
  <si>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</si>
  <si>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</si>
  <si>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</si>
  <si>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</si>
  <si>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</si>
  <si>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</si>
  <si>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</si>
  <si>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</si>
  <si>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</si>
  <si>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</si>
  <si>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</si>
  <si>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</si>
  <si>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</si>
  <si>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</si>
  <si>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</si>
  <si>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</si>
  <si>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</si>
  <si>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</si>
  <si>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</si>
  <si>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</si>
  <si>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</si>
  <si>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</si>
  <si>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</si>
  <si>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</si>
  <si>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</si>
  <si>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</si>
  <si>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</si>
  <si>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</si>
  <si>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</si>
  <si>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</si>
  <si>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</si>
  <si>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</si>
  <si>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</si>
  <si>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</si>
  <si>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</si>
  <si>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</si>
  <si>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</si>
  <si>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</si>
  <si>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</si>
  <si>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</si>
  <si>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</si>
  <si>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</si>
  <si>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</si>
  <si>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</si>
  <si>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</si>
  <si>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</si>
  <si>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</si>
  <si>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</si>
  <si>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</si>
  <si>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</si>
  <si>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</si>
  <si>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</si>
  <si>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</si>
  <si>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</si>
  <si>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</si>
  <si>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</si>
  <si>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</si>
  <si>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</si>
  <si>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</si>
  <si>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</si>
  <si>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</si>
  <si>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</si>
  <si>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</si>
  <si>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</si>
  <si>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</si>
  <si>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</si>
  <si>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</si>
  <si>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</si>
  <si>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</si>
  <si>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</si>
  <si>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</si>
  <si>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</si>
  <si>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</si>
  <si>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</si>
  <si>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</si>
  <si>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</si>
  <si>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</si>
  <si>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</si>
  <si>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</si>
  <si>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</si>
  <si>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</si>
  <si>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</si>
  <si>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</si>
  <si>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</si>
  <si>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</si>
  <si>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</si>
  <si>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</si>
  <si>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</si>
  <si>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</si>
  <si>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</si>
  <si>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</si>
  <si>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</si>
  <si>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</si>
  <si>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</si>
  <si>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</si>
  <si>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</si>
  <si>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</si>
  <si>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</si>
  <si>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</si>
  <si>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</si>
  <si>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</si>
  <si>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</si>
  <si>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</si>
  <si>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</si>
  <si>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</si>
  <si>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</si>
  <si>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</si>
  <si>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</si>
  <si>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</si>
  <si>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</si>
  <si>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</si>
  <si>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</si>
  <si>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</si>
  <si>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</si>
  <si>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</si>
  <si>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</si>
  <si>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</si>
  <si>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</si>
  <si>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</si>
  <si>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</si>
  <si>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</si>
  <si>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</si>
  <si>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</si>
  <si>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</si>
  <si>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</si>
  <si>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</si>
  <si>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</si>
  <si>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</si>
  <si>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</si>
  <si>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</si>
  <si>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</si>
  <si>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</si>
  <si>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</si>
  <si>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</si>
  <si>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</si>
  <si>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</si>
  <si>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</si>
  <si>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</si>
  <si>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</si>
  <si>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</si>
  <si>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</si>
  <si>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</si>
  <si>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</si>
  <si>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</si>
  <si>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</si>
  <si>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</si>
  <si>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</si>
  <si>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</si>
  <si>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</si>
  <si>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</si>
  <si>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</si>
  <si>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</si>
  <si>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</si>
  <si>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</si>
  <si>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</si>
  <si>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</si>
  <si>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</si>
  <si>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</si>
  <si>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</si>
  <si>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</si>
  <si>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</si>
  <si>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</si>
  <si>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</si>
  <si>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</si>
  <si>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</si>
  <si>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</si>
  <si>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</si>
  <si>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</si>
  <si>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</si>
  <si>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</si>
  <si>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</si>
  <si>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</si>
  <si>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</si>
  <si>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</si>
  <si>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</si>
  <si>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</si>
  <si>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</si>
  <si>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</si>
  <si>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</si>
  <si>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</si>
  <si>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</si>
  <si>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</si>
  <si>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</si>
  <si>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</si>
  <si>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</si>
  <si>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</si>
  <si>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</si>
  <si>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</si>
  <si>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</si>
  <si>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</si>
  <si>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</si>
  <si>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</si>
  <si>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</si>
  <si>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</si>
  <si>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</si>
  <si>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</si>
  <si>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</si>
  <si>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</si>
  <si>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</si>
  <si>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</si>
  <si>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</si>
  <si>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</si>
  <si>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</si>
  <si>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</si>
  <si>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</si>
  <si>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</si>
  <si>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</si>
  <si>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</si>
  <si>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</si>
  <si>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</si>
  <si>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</si>
  <si>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</si>
  <si>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</si>
  <si>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</si>
  <si>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</si>
  <si>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</si>
  <si>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</si>
  <si>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</si>
  <si>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</si>
  <si>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</si>
  <si>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</si>
  <si>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</si>
  <si>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</si>
  <si>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</si>
  <si>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</si>
  <si>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</si>
  <si>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</si>
  <si>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</si>
  <si>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</si>
  <si>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</si>
  <si>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</si>
  <si>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</si>
  <si>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</si>
  <si>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</si>
  <si>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</si>
  <si>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</si>
  <si>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</si>
  <si>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</si>
  <si>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</si>
  <si>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</si>
  <si>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</si>
  <si>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</si>
  <si>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</si>
  <si>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</si>
  <si>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</si>
  <si>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</si>
  <si>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</si>
  <si>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</si>
  <si>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</si>
  <si>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</si>
  <si>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</si>
  <si>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</si>
  <si>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</si>
  <si>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</si>
  <si>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</si>
  <si>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</si>
  <si>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</si>
  <si>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</si>
  <si>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</si>
  <si>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</si>
  <si>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</si>
  <si>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</si>
  <si>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</si>
  <si>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</si>
  <si>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</si>
  <si>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</si>
  <si>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</si>
  <si>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</si>
  <si>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</si>
  <si>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</si>
  <si>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</si>
  <si>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</si>
  <si>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</si>
  <si>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</si>
  <si>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</si>
  <si>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</si>
  <si>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</si>
  <si>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</si>
  <si>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</si>
  <si>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</si>
  <si>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</si>
  <si>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</si>
  <si>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</si>
  <si>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</si>
  <si>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</si>
  <si>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</si>
  <si>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</si>
  <si>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</si>
  <si>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</si>
  <si>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</si>
  <si>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</si>
  <si>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</si>
  <si>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</si>
  <si>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</si>
  <si>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</si>
  <si>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</si>
  <si>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</si>
  <si>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</si>
  <si>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</si>
  <si>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</si>
  <si>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</si>
  <si>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</si>
  <si>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</si>
  <si>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</si>
  <si>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</si>
  <si>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</si>
  <si>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</si>
  <si>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</si>
  <si>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</si>
  <si>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</si>
  <si>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</si>
  <si>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</si>
  <si>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</si>
  <si>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</si>
  <si>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</si>
  <si>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</si>
  <si>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</si>
  <si>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</si>
  <si>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</si>
  <si>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</si>
  <si>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</si>
  <si>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</si>
  <si>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</si>
  <si>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</si>
  <si>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</si>
  <si>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</si>
  <si>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</si>
  <si>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</si>
  <si>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</si>
  <si>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</si>
  <si>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</si>
  <si>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</si>
  <si>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</si>
  <si>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</si>
  <si>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</si>
  <si>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</si>
  <si>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</si>
  <si>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</si>
  <si>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</si>
  <si>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</si>
  <si>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</si>
  <si>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</si>
  <si>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</si>
  <si>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</si>
  <si>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</si>
  <si>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</si>
  <si>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</si>
  <si>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</si>
  <si>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</si>
  <si>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</si>
  <si>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</si>
  <si>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</si>
  <si>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</si>
  <si>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</si>
  <si>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</si>
  <si>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</si>
  <si>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</si>
  <si>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</si>
  <si>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</si>
  <si>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</si>
  <si>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</si>
  <si>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</si>
  <si>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</si>
  <si>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</si>
  <si>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</si>
  <si>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</si>
  <si>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</si>
  <si>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</si>
  <si>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</si>
  <si>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</si>
  <si>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</si>
  <si>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</si>
  <si>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</si>
  <si>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</si>
  <si>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</si>
  <si>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</si>
  <si>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</si>
  <si>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</si>
  <si>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</si>
  <si>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</si>
  <si>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</si>
  <si>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</si>
  <si>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</si>
  <si>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</si>
  <si>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</si>
  <si>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</si>
  <si>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</si>
  <si>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</si>
  <si>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</si>
  <si>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</si>
  <si>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</si>
  <si>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</si>
  <si>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</si>
  <si>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</si>
  <si>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</si>
  <si>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</si>
  <si>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</si>
  <si>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</si>
  <si>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</si>
  <si>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</si>
  <si>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</si>
  <si>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</si>
  <si>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</si>
  <si>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</si>
  <si>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</si>
  <si>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</si>
  <si>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</si>
  <si>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</si>
  <si>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</si>
  <si>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</si>
  <si>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</si>
  <si>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</si>
  <si>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</si>
  <si>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</si>
  <si>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</si>
  <si>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</si>
  <si>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</si>
  <si>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</si>
  <si>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</si>
  <si>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</si>
  <si>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</si>
  <si>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</si>
  <si>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</si>
  <si>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</si>
  <si>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</si>
  <si>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</si>
  <si>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</si>
  <si>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</si>
  <si>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</si>
  <si>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</si>
  <si>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</si>
  <si>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</si>
  <si>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</si>
  <si>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</si>
  <si>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</si>
  <si>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</si>
  <si>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</si>
  <si>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</si>
  <si>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</si>
  <si>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</si>
  <si>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</si>
  <si>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</si>
  <si>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</si>
  <si>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</si>
  <si>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</si>
  <si>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</si>
  <si>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</si>
  <si>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</si>
  <si>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</si>
  <si>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</si>
  <si>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</si>
  <si>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</si>
  <si>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</si>
  <si>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</si>
  <si>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</si>
  <si>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</si>
  <si>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</si>
  <si>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</si>
  <si>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</si>
  <si>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</si>
  <si>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</si>
  <si>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</si>
  <si>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</si>
  <si>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</si>
  <si>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</si>
  <si>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</si>
  <si>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</si>
  <si>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</si>
  <si>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</si>
  <si>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</si>
  <si>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</si>
  <si>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</si>
  <si>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</si>
  <si>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</si>
  <si>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</si>
  <si>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</si>
  <si>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</si>
  <si>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</si>
  <si>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</si>
  <si>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</si>
  <si>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</si>
  <si>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</si>
  <si>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</si>
  <si>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</si>
  <si>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</si>
  <si>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</si>
  <si>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</si>
  <si>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</si>
  <si>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</si>
  <si>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</si>
  <si>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</si>
  <si>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</si>
  <si>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</si>
  <si>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</si>
  <si>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</si>
  <si>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</si>
  <si>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</si>
  <si>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</si>
  <si>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</si>
  <si>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</si>
  <si>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</si>
  <si>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</si>
  <si>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</si>
  <si>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</si>
  <si>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</si>
  <si>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</si>
  <si>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</si>
  <si>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</si>
  <si>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</si>
  <si>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</si>
  <si>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</si>
  <si>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</si>
  <si>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</si>
  <si>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</si>
  <si>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</si>
  <si>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</si>
  <si>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</si>
  <si>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</si>
  <si>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</si>
  <si>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</si>
  <si>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</si>
  <si>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</si>
  <si>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</si>
  <si>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</si>
  <si>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</si>
  <si>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</si>
  <si>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</si>
  <si>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</si>
  <si>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</si>
  <si>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</si>
  <si>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</si>
  <si>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</si>
  <si>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</si>
  <si>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</si>
  <si>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</si>
  <si>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</si>
  <si>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</si>
  <si>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</si>
  <si>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</si>
  <si>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</si>
  <si>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</si>
  <si>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</si>
  <si>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</si>
  <si>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</si>
  <si>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</si>
  <si>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</si>
  <si>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</si>
  <si>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</si>
  <si>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</si>
  <si>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</si>
  <si>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</si>
  <si>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</si>
  <si>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</si>
  <si>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</si>
  <si>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</si>
  <si>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</si>
  <si>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</si>
  <si>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</si>
  <si>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</si>
  <si>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</si>
  <si>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</si>
  <si>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</si>
  <si>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</si>
  <si>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</si>
  <si>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</si>
  <si>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</si>
  <si>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</si>
  <si>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</si>
  <si>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</si>
  <si>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</si>
  <si>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</si>
  <si>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</si>
  <si>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</si>
  <si>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</si>
  <si>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</si>
  <si>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</si>
  <si>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</si>
  <si>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</si>
  <si>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</si>
  <si>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</si>
  <si>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</si>
  <si>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</si>
  <si>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</si>
  <si>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</si>
  <si>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</si>
  <si>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</si>
  <si>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</si>
  <si>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</si>
  <si>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</si>
  <si>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</si>
  <si>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</si>
  <si>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</si>
  <si>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</si>
  <si>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</si>
  <si>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</si>
  <si>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</si>
  <si>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</si>
  <si>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</si>
  <si>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</si>
  <si>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</si>
  <si>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</si>
  <si>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</si>
  <si>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</si>
  <si>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</si>
  <si>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</si>
  <si>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</si>
  <si>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</si>
  <si>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</si>
  <si>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</si>
  <si>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</si>
  <si>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</si>
  <si>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</si>
  <si>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</si>
  <si>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</si>
  <si>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</si>
  <si>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</si>
  <si>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</si>
  <si>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</si>
  <si>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</si>
  <si>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</si>
  <si>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</si>
  <si>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</si>
  <si>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</si>
  <si>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</si>
  <si>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</si>
  <si>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</si>
  <si>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</si>
  <si>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</si>
  <si>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</si>
  <si>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</si>
  <si>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</si>
  <si>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</si>
  <si>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</si>
  <si>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</si>
  <si>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</si>
  <si>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</si>
  <si>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</si>
  <si>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</si>
  <si>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</si>
  <si>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</si>
  <si>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</si>
  <si>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</si>
  <si>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</si>
  <si>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</si>
  <si>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</si>
  <si>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</si>
  <si>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</si>
  <si>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</si>
  <si>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</si>
  <si>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</si>
  <si>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</si>
  <si>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</si>
  <si>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</si>
  <si>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</si>
  <si>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</si>
  <si>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</si>
  <si>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</si>
  <si>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</si>
  <si>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</si>
  <si>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</si>
  <si>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</si>
  <si>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</si>
  <si>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</si>
  <si>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</si>
  <si>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</si>
  <si>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</si>
  <si>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</si>
  <si>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</si>
  <si>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</si>
  <si>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</si>
  <si>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</si>
  <si>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</si>
  <si>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</si>
  <si>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</si>
  <si>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</si>
  <si>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</si>
  <si>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</si>
  <si>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</si>
  <si>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</si>
  <si>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</si>
  <si>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</si>
  <si>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</si>
  <si>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</si>
  <si>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</si>
  <si>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</si>
  <si>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</si>
  <si>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</si>
  <si>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</si>
  <si>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</si>
  <si>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</si>
  <si>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</si>
  <si>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</si>
  <si>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</si>
  <si>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</si>
  <si>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</si>
  <si>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</si>
  <si>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</si>
  <si>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</si>
  <si>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</si>
  <si>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</si>
  <si>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</si>
  <si>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</si>
  <si>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</si>
  <si>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</si>
  <si>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</si>
  <si>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</si>
  <si>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</si>
  <si>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</si>
  <si>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</si>
  <si>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</si>
  <si>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</si>
  <si>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</si>
  <si>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</si>
  <si>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</si>
  <si>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</si>
  <si>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</si>
  <si>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</si>
  <si>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</si>
  <si>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</si>
  <si>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</si>
  <si>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</si>
  <si>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</si>
  <si>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</si>
  <si>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</si>
  <si>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</si>
  <si>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</si>
  <si>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</si>
  <si>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</si>
  <si>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</si>
  <si>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</si>
  <si>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</si>
  <si>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</si>
  <si>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</si>
  <si>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</si>
  <si>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</si>
  <si>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</si>
  <si>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</si>
  <si>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</si>
  <si>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</si>
  <si>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</si>
  <si>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</si>
  <si>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</si>
  <si>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</si>
  <si>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</si>
  <si>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</si>
  <si>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</si>
  <si>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</si>
  <si>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</si>
  <si>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</si>
  <si>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</si>
  <si>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</si>
  <si>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</si>
  <si>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</si>
  <si>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</si>
  <si>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</si>
  <si>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</si>
  <si>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</si>
  <si>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</si>
  <si>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</si>
  <si>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</si>
  <si>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</si>
  <si>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</si>
  <si>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</si>
  <si>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</si>
  <si>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</si>
  <si>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</si>
  <si>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</si>
  <si>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</si>
  <si>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</si>
  <si>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</si>
  <si>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</si>
  <si>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</si>
  <si>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</si>
  <si>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</si>
  <si>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</si>
  <si>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</si>
  <si>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</si>
  <si>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</si>
  <si>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</si>
  <si>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</si>
  <si>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</si>
  <si>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</si>
  <si>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</si>
  <si>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</si>
  <si>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</si>
  <si>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</si>
  <si>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</si>
  <si>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</si>
  <si>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</si>
  <si>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</si>
  <si>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</si>
  <si>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</si>
  <si>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</si>
  <si>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</si>
  <si>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</si>
  <si>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</si>
  <si>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</si>
  <si>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</si>
  <si>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</si>
  <si>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</si>
  <si>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</si>
  <si>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</si>
  <si>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</si>
  <si>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</si>
  <si>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</si>
  <si>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</si>
  <si>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</si>
  <si>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</si>
  <si>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</si>
  <si>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</si>
  <si>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</si>
  <si>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</si>
  <si>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</si>
  <si>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</si>
  <si>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</si>
  <si>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</si>
  <si>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</si>
  <si>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</si>
  <si>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</si>
  <si>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</si>
  <si>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</si>
  <si>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</si>
  <si>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</si>
  <si>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</si>
  <si>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</si>
  <si>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</si>
  <si>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</si>
  <si>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</si>
  <si>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</si>
  <si>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</si>
  <si>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</si>
  <si>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</si>
  <si>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</si>
  <si>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</si>
  <si>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</si>
  <si>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</si>
  <si>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</si>
  <si>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</si>
  <si>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</si>
  <si>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</si>
  <si>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</si>
  <si>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</si>
  <si>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</si>
  <si>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</si>
  <si>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</si>
  <si>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</si>
  <si>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</si>
  <si>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</si>
  <si>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</si>
  <si>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</si>
  <si>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</si>
  <si>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</si>
  <si>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</si>
  <si>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</si>
  <si>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</si>
  <si>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</si>
  <si>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</si>
  <si>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</si>
  <si>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</si>
  <si>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</si>
  <si>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</si>
  <si>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</si>
  <si>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</si>
  <si>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</si>
  <si>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</si>
  <si>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</si>
  <si>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</si>
  <si>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</si>
  <si>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</si>
  <si>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</si>
  <si>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</si>
  <si>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</si>
  <si>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</si>
  <si>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</si>
  <si>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</si>
  <si>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</si>
  <si>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</si>
  <si>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</si>
  <si>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</si>
  <si>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</si>
  <si>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</si>
  <si>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</si>
  <si>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</si>
  <si>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</si>
  <si>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</si>
  <si>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</si>
  <si>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</si>
  <si>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</si>
  <si>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</si>
  <si>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</si>
  <si>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</si>
  <si>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</si>
  <si>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</si>
  <si>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</si>
  <si>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</si>
  <si>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</si>
  <si>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</si>
  <si>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</si>
  <si>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</si>
  <si>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</si>
  <si>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</si>
  <si>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</si>
  <si>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</si>
  <si>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</si>
  <si>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</si>
  <si>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</si>
  <si>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</si>
  <si>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</si>
  <si>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</si>
  <si>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</si>
  <si>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</si>
  <si>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</si>
  <si>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</si>
  <si>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</si>
  <si>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</si>
  <si>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</si>
  <si>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</si>
  <si>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</si>
  <si>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</si>
  <si>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</si>
  <si>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</si>
  <si>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</si>
  <si>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</si>
  <si>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</si>
  <si>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</si>
  <si>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</si>
  <si>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</si>
  <si>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</si>
  <si>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</si>
  <si>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</si>
  <si>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</si>
  <si>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</si>
  <si>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</si>
  <si>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</si>
  <si>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</si>
  <si>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</si>
  <si>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</si>
  <si>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</si>
  <si>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</si>
  <si>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</si>
  <si>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</si>
  <si>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</si>
  <si>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</si>
  <si>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</si>
  <si>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</si>
  <si>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</si>
  <si>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</si>
  <si>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</si>
  <si>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</si>
  <si>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</si>
  <si>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</si>
  <si>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</si>
  <si>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</si>
  <si>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</si>
  <si>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</si>
  <si>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</si>
  <si>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</si>
  <si>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</si>
  <si>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</si>
  <si>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</si>
  <si>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</si>
  <si>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</si>
  <si>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</si>
  <si>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</si>
  <si>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</si>
  <si>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</si>
  <si>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</si>
  <si>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</si>
  <si>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</si>
  <si>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</si>
  <si>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</si>
  <si>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</si>
  <si>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</si>
  <si>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</si>
  <si>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</si>
  <si>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</si>
  <si>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</si>
  <si>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</si>
  <si>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</si>
  <si>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</si>
  <si>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</si>
  <si>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</si>
  <si>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</si>
  <si>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</si>
  <si>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</si>
  <si>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</si>
  <si>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</si>
  <si>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</si>
  <si>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</si>
  <si>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</si>
  <si>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</si>
  <si>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</si>
  <si>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</si>
  <si>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</si>
  <si>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</si>
  <si>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</si>
  <si>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</si>
  <si>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</si>
  <si>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</si>
  <si>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</si>
  <si>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</si>
  <si>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</si>
  <si>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</si>
  <si>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</si>
  <si>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</si>
  <si>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</si>
  <si>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</si>
  <si>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</si>
  <si>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</si>
  <si>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</si>
  <si>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</si>
  <si>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</si>
  <si>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</si>
  <si>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</si>
  <si>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</si>
  <si>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</si>
  <si>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</si>
  <si>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</si>
  <si>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</si>
  <si>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</si>
  <si>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</si>
  <si>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</si>
  <si>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</si>
  <si>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</si>
  <si>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</si>
  <si>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</si>
  <si>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</si>
  <si>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</si>
  <si>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</si>
  <si>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</si>
  <si>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</si>
  <si>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</si>
  <si>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</si>
  <si>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</si>
  <si>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</si>
  <si>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</si>
  <si>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</si>
  <si>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</si>
  <si>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</si>
  <si>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</si>
  <si>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</si>
  <si>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</si>
  <si>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</si>
  <si>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</si>
  <si>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</si>
  <si>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</si>
  <si>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</si>
  <si>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</si>
  <si>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</si>
  <si>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</si>
  <si>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</si>
  <si>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</si>
  <si>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</si>
  <si>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</si>
  <si>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</si>
  <si>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</si>
  <si>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</si>
  <si>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</si>
  <si>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</si>
  <si>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</si>
  <si>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</si>
  <si>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</si>
  <si>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</si>
  <si>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</si>
  <si>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</si>
  <si>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</si>
  <si>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</si>
  <si>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</si>
  <si>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</si>
  <si>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</si>
  <si>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</si>
  <si>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</si>
  <si>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</si>
  <si>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</si>
  <si>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</si>
  <si>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</si>
  <si>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</si>
  <si>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</si>
  <si>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</si>
  <si>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</si>
  <si>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</si>
  <si>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</si>
  <si>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</si>
  <si>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</si>
  <si>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</si>
  <si>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</si>
  <si>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</si>
  <si>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</si>
  <si>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</si>
  <si>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</si>
  <si>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</si>
  <si>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</si>
  <si>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</si>
  <si>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</si>
  <si>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</si>
  <si>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</si>
  <si>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</si>
  <si>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</si>
  <si>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</si>
  <si>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</si>
  <si>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</si>
  <si>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</si>
  <si>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</si>
  <si>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</si>
  <si>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</si>
  <si>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</si>
  <si>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</si>
  <si>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</si>
  <si>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</si>
  <si>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</si>
  <si>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</si>
  <si>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</si>
  <si>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</si>
  <si>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</si>
  <si>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</si>
  <si>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</si>
  <si>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</si>
  <si>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</si>
  <si>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</si>
  <si>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</si>
  <si>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</si>
  <si>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</si>
  <si>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</si>
  <si>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</si>
  <si>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</si>
  <si>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</si>
  <si>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</si>
  <si>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</si>
  <si>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</si>
  <si>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</si>
  <si>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</si>
  <si>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</si>
  <si>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</si>
  <si>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</si>
  <si>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</si>
  <si>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</si>
  <si>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</si>
  <si>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</si>
  <si>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</si>
  <si>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</si>
  <si>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</si>
  <si>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</si>
  <si>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</si>
  <si>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</si>
  <si>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</si>
  <si>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</si>
  <si>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</si>
  <si>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</si>
  <si>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</si>
  <si>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</si>
  <si>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</si>
  <si>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</si>
  <si>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</si>
  <si>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</si>
  <si>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</si>
  <si>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</si>
  <si>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</si>
  <si>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</si>
  <si>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</si>
  <si>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</si>
  <si>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</si>
  <si>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</si>
  <si>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</si>
  <si>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</si>
  <si>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</si>
  <si>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</si>
  <si>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</si>
  <si>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</si>
  <si>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</si>
  <si>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</si>
  <si>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</si>
  <si>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</si>
  <si>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</si>
  <si>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</si>
  <si>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</si>
  <si>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</si>
  <si>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</si>
  <si>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</si>
  <si>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</si>
  <si>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</si>
  <si>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</si>
  <si>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</si>
  <si>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</si>
  <si>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</si>
  <si>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</si>
  <si>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</si>
  <si>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</si>
  <si>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</si>
  <si>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</si>
  <si>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</si>
  <si>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</si>
  <si>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</si>
  <si>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</si>
  <si>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</si>
  <si>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</si>
  <si>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</si>
  <si>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</si>
  <si>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</si>
  <si>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</si>
  <si>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</si>
  <si>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</si>
  <si>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</si>
  <si>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</si>
  <si>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</si>
  <si>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</si>
  <si>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</si>
  <si>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</si>
  <si>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</si>
  <si>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</si>
  <si>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</si>
  <si>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</si>
  <si>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</si>
  <si>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</si>
  <si>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</si>
  <si>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</si>
  <si>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</si>
  <si>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</si>
  <si>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</si>
  <si>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</si>
  <si>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</si>
  <si>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</si>
  <si>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</si>
  <si>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</si>
  <si>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</si>
  <si>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</si>
  <si>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</si>
  <si>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</si>
  <si>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</si>
  <si>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</si>
  <si>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</si>
  <si>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</si>
  <si>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</si>
  <si>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</si>
  <si>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</si>
  <si>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</si>
  <si>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</si>
  <si>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</si>
  <si>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</si>
  <si>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</si>
  <si>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</si>
  <si>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</si>
  <si>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</si>
  <si>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</si>
  <si>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</si>
  <si>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</si>
  <si>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</si>
  <si>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</si>
  <si>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</si>
  <si>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</si>
  <si>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</si>
  <si>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</si>
  <si>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</si>
  <si>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</si>
  <si>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</si>
  <si>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</si>
  <si>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</si>
  <si>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</si>
  <si>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</si>
  <si>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</si>
  <si>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</si>
  <si>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</si>
  <si>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</si>
  <si>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</si>
  <si>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</si>
  <si>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</si>
  <si>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</si>
  <si>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</si>
  <si>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</si>
  <si>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</si>
  <si>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</si>
  <si>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</si>
  <si>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</si>
  <si>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</si>
  <si>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</si>
  <si>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</si>
  <si>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</si>
  <si>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</si>
  <si>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</si>
  <si>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</si>
  <si>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</si>
  <si>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</si>
  <si>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</si>
  <si>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</si>
  <si>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</si>
  <si>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</si>
  <si>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</si>
  <si>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</si>
  <si>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</si>
  <si>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</si>
  <si>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</si>
  <si>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</si>
  <si>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</si>
  <si>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</si>
  <si>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</si>
  <si>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</si>
  <si>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</si>
  <si>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</si>
  <si>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</si>
  <si>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</si>
  <si>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</si>
  <si>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</si>
  <si>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</si>
  <si>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</si>
  <si>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</si>
  <si>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</si>
  <si>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</si>
  <si>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</si>
  <si>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</si>
  <si>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</si>
  <si>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</si>
  <si>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</si>
  <si>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</si>
  <si>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</si>
  <si>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</si>
  <si>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</si>
  <si>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</si>
  <si>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</si>
  <si>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</si>
  <si>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</si>
  <si>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</si>
  <si>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</si>
  <si>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</si>
  <si>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</si>
  <si>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</si>
  <si>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</si>
  <si>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</si>
  <si>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</si>
  <si>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</si>
  <si>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</si>
  <si>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</si>
  <si>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</si>
  <si>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</si>
  <si>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</si>
  <si>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</si>
  <si>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</si>
  <si>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</si>
  <si>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</si>
  <si>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</si>
  <si>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</si>
  <si>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</si>
  <si>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</si>
  <si>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</si>
  <si>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</si>
  <si>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</si>
  <si>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</si>
  <si>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</si>
  <si>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</si>
  <si>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</si>
  <si>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</si>
  <si>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</si>
  <si>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</si>
  <si>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</si>
  <si>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</si>
  <si>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</si>
  <si>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</si>
  <si>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</si>
  <si>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</si>
  <si>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</si>
  <si>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</si>
  <si>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</si>
  <si>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</si>
  <si>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</si>
  <si>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</si>
  <si>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</si>
  <si>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</si>
  <si>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</si>
  <si>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</si>
  <si>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</si>
  <si>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</si>
  <si>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</si>
  <si>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</si>
  <si>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</si>
  <si>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</si>
  <si>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</si>
  <si>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</si>
  <si>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</si>
  <si>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</si>
  <si>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</si>
  <si>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</si>
  <si>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</si>
  <si>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</si>
  <si>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</si>
  <si>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</si>
  <si>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</si>
  <si>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</si>
  <si>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</si>
  <si>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</si>
  <si>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</si>
  <si>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</si>
  <si>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</si>
  <si>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</si>
  <si>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</si>
  <si>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</si>
  <si>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</si>
  <si>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</si>
  <si>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</si>
  <si>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</si>
  <si>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</si>
  <si>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</si>
  <si>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</si>
  <si>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</si>
  <si>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</si>
  <si>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</si>
  <si>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</si>
  <si>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</si>
  <si>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</si>
  <si>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</si>
  <si>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</si>
  <si>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</si>
  <si>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</si>
  <si>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</si>
  <si>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</si>
  <si>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</si>
  <si>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</si>
  <si>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</si>
  <si>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</si>
  <si>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</si>
  <si>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</si>
  <si>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</si>
  <si>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</si>
  <si>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</si>
  <si>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</si>
  <si>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</si>
  <si>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</si>
  <si>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</si>
  <si>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</si>
  <si>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</si>
  <si>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</si>
  <si>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</si>
  <si>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</si>
  <si>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</si>
  <si>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</si>
  <si>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</si>
  <si>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</si>
  <si>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</si>
  <si>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</si>
  <si>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</si>
  <si>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</si>
  <si>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</si>
  <si>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</si>
  <si>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</si>
  <si>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</si>
  <si>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</si>
  <si>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</si>
  <si>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</si>
  <si>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</si>
  <si>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</si>
  <si>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</si>
  <si>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</si>
  <si>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</si>
  <si>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</si>
  <si>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</si>
  <si>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</si>
  <si>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</si>
  <si>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</si>
  <si>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</si>
  <si>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</si>
  <si>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</si>
  <si>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</si>
  <si>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</si>
  <si>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</si>
  <si>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</si>
  <si>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</si>
  <si>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</si>
  <si>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</si>
  <si>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</si>
  <si>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</si>
  <si>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</si>
  <si>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</si>
  <si>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</si>
  <si>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</si>
  <si>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</si>
  <si>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</si>
  <si>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</si>
  <si>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</si>
  <si>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</si>
  <si>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</si>
  <si>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</si>
  <si>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</si>
  <si>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</si>
  <si>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</si>
  <si>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</si>
  <si>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</si>
  <si>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</si>
  <si>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</si>
  <si>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</si>
  <si>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</si>
  <si>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</si>
  <si>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</si>
  <si>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</si>
  <si>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</si>
  <si>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</si>
  <si>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</si>
  <si>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</si>
  <si>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</si>
  <si>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</si>
  <si>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</si>
  <si>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</si>
  <si>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</si>
  <si>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</si>
  <si>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</si>
  <si>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</si>
  <si>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</si>
  <si>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</si>
  <si>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</si>
  <si>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</si>
  <si>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</si>
  <si>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</si>
  <si>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</si>
  <si>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</si>
  <si>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</si>
  <si>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</si>
  <si>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</si>
  <si>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</si>
  <si>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</si>
  <si>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</si>
  <si>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</si>
  <si>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</si>
  <si>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</si>
  <si>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</si>
  <si>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</si>
  <si>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</si>
  <si>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</si>
  <si>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</si>
  <si>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</si>
  <si>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</si>
  <si>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</si>
  <si>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</si>
  <si>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</si>
  <si>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</si>
  <si>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</si>
  <si>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</si>
  <si>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</si>
  <si>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</si>
  <si>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</si>
  <si>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</si>
  <si>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</si>
  <si>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</si>
  <si>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</si>
  <si>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</si>
  <si>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</si>
  <si>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</si>
  <si>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</si>
  <si>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</si>
  <si>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</si>
  <si>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</si>
  <si>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</si>
  <si>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</si>
  <si>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</si>
  <si>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</si>
  <si>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</si>
  <si>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</si>
  <si>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</si>
  <si>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</si>
  <si>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</si>
  <si>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</si>
  <si>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</si>
  <si>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</si>
  <si>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</si>
  <si>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</si>
  <si>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</si>
  <si>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</si>
  <si>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</si>
  <si>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</si>
  <si>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</si>
  <si>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</si>
  <si>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</si>
  <si>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</si>
  <si>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</si>
  <si>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</si>
  <si>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</si>
  <si>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</si>
  <si>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</si>
  <si>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</si>
  <si>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</si>
  <si>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</si>
  <si>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</si>
  <si>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</si>
  <si>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</si>
  <si>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</si>
  <si>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</si>
  <si>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</si>
  <si>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</si>
  <si>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</si>
  <si>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</si>
  <si>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</si>
  <si>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</si>
  <si>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</si>
  <si>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</si>
  <si>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</si>
  <si>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</si>
  <si>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</si>
  <si>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</si>
  <si>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</si>
  <si>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</si>
  <si>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</si>
  <si>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</si>
  <si>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</si>
  <si>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</si>
  <si>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</si>
  <si>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</si>
  <si>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</si>
  <si>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</si>
  <si>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</si>
  <si>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</si>
  <si>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</si>
  <si>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</si>
  <si>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</si>
  <si>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</si>
  <si>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</si>
  <si>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</si>
  <si>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</si>
  <si>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</si>
  <si>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</si>
  <si>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</si>
  <si>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</si>
  <si>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</si>
  <si>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</si>
  <si>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</si>
  <si>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</si>
  <si>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</si>
  <si>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</si>
  <si>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</si>
  <si>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</si>
  <si>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</si>
  <si>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</si>
  <si>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</si>
  <si>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</si>
  <si>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</si>
  <si>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</si>
  <si>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</si>
  <si>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</si>
  <si>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</si>
  <si>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</si>
  <si>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</si>
  <si>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</si>
  <si>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</si>
  <si>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</si>
  <si>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</si>
  <si>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</si>
  <si>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</si>
  <si>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</si>
  <si>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</si>
  <si>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</si>
  <si>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</si>
  <si>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</si>
  <si>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</si>
  <si>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</si>
  <si>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</si>
  <si>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</si>
  <si>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</si>
  <si>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</si>
  <si>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</si>
  <si>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</si>
  <si>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</si>
  <si>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</si>
  <si>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</si>
  <si>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</si>
  <si>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</si>
  <si>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</si>
  <si>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</si>
  <si>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</si>
  <si>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</si>
  <si>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</si>
  <si>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</si>
  <si>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</si>
  <si>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</si>
  <si>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</si>
  <si>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</si>
  <si>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</si>
  <si>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</si>
  <si>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</si>
  <si>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</si>
  <si>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</si>
  <si>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</si>
  <si>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</si>
  <si>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</si>
  <si>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</si>
  <si>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</si>
  <si>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</si>
  <si>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</si>
  <si>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</si>
  <si>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</si>
  <si>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</si>
  <si>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</si>
  <si>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</si>
  <si>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</si>
  <si>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</si>
  <si>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</si>
  <si>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</si>
  <si>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</si>
  <si>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</si>
  <si>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</si>
  <si>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</si>
  <si>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</si>
  <si>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</si>
  <si>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</si>
  <si>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</si>
  <si>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</si>
  <si>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</si>
  <si>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</si>
  <si>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</si>
  <si>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</si>
  <si>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</si>
  <si>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</si>
  <si>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</si>
  <si>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</si>
  <si>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</si>
  <si>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</si>
  <si>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</si>
  <si>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</si>
  <si>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</si>
  <si>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</si>
  <si>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</si>
  <si>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</si>
  <si>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</si>
  <si>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</si>
  <si>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</si>
  <si>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</si>
  <si>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</si>
  <si>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</si>
  <si>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</si>
  <si>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</si>
  <si>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</si>
  <si>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</si>
  <si>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</si>
  <si>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</si>
  <si>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</si>
  <si>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</si>
  <si>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</si>
  <si>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</si>
  <si>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</si>
  <si>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</si>
  <si>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</si>
  <si>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</si>
  <si>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</si>
  <si>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</si>
  <si>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</si>
  <si>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</si>
  <si>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</si>
  <si>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</si>
  <si>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</si>
  <si>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</si>
  <si>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</si>
  <si>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</si>
  <si>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</si>
  <si>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</si>
  <si>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</si>
  <si>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</si>
  <si>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</si>
  <si>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</si>
  <si>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</si>
  <si>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</si>
  <si>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</si>
  <si>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</si>
  <si>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</si>
  <si>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</si>
  <si>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</si>
  <si>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</si>
  <si>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</si>
  <si>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</si>
  <si>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</si>
  <si>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</si>
  <si>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</si>
  <si>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</si>
  <si>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</si>
  <si>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</si>
  <si>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</si>
  <si>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</si>
  <si>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</si>
  <si>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</si>
  <si>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</si>
  <si>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</si>
  <si>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</si>
  <si>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</si>
  <si>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</si>
  <si>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</si>
  <si>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</si>
  <si>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</si>
  <si>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</si>
  <si>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</si>
  <si>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</si>
  <si>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</si>
  <si>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</si>
  <si>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</si>
  <si>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</si>
  <si>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</si>
  <si>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</si>
  <si>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</si>
  <si>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</si>
  <si>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</si>
  <si>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</si>
  <si>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</si>
  <si>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</si>
  <si>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</si>
  <si>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</si>
  <si>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</si>
  <si>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</si>
  <si>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</si>
  <si>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</si>
  <si>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</si>
  <si>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</si>
  <si>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</si>
  <si>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</si>
  <si>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</si>
  <si>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</si>
  <si>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</si>
  <si>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</si>
  <si>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</si>
  <si>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</si>
  <si>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</si>
  <si>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</si>
  <si>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</si>
  <si>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</si>
  <si>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</si>
  <si>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</si>
  <si>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</si>
  <si>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</si>
  <si>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</si>
  <si>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</si>
  <si>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</si>
  <si>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</si>
  <si>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</si>
  <si>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</si>
  <si>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</si>
  <si>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</si>
  <si>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</si>
  <si>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</si>
  <si>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</si>
  <si>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</si>
  <si>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</si>
  <si>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</si>
  <si>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</si>
  <si>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</si>
  <si>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</si>
  <si>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</si>
  <si>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</si>
  <si>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</si>
  <si>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</si>
  <si>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</si>
  <si>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</si>
  <si>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</si>
  <si>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</si>
  <si>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</si>
  <si>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</si>
  <si>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</si>
  <si>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</si>
  <si>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</si>
  <si>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</si>
  <si>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</si>
  <si>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</si>
  <si>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</si>
  <si>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</si>
  <si>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</si>
  <si>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</si>
  <si>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</si>
  <si>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</si>
  <si>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</si>
  <si>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</si>
  <si>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</si>
  <si>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</si>
  <si>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</si>
  <si>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</si>
  <si>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</si>
  <si>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</si>
  <si>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</si>
  <si>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</si>
  <si>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</si>
  <si>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</si>
  <si>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</si>
  <si>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</si>
  <si>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</si>
  <si>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</si>
  <si>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</si>
  <si>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</si>
  <si>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</si>
  <si>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</si>
  <si>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</si>
  <si>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</si>
  <si>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</si>
  <si>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</si>
  <si>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</si>
  <si>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</si>
  <si>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</si>
  <si>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</si>
  <si>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</si>
  <si>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</si>
  <si>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</si>
  <si>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</si>
  <si>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</si>
  <si>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</si>
  <si>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</si>
  <si>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</si>
  <si>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</si>
  <si>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</si>
  <si>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</si>
  <si>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</si>
  <si>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</si>
  <si>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</si>
  <si>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</si>
  <si>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</si>
  <si>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</si>
  <si>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</si>
  <si>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</si>
  <si>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</si>
  <si>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</si>
  <si>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</si>
  <si>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</si>
  <si>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</si>
  <si>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</si>
  <si>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</si>
  <si>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</si>
  <si>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</si>
  <si>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</si>
  <si>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</si>
  <si>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</si>
  <si>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</si>
  <si>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</si>
  <si>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</si>
  <si>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</si>
  <si>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</si>
  <si>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</si>
  <si>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</si>
  <si>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</si>
  <si>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</si>
  <si>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</si>
  <si>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</si>
  <si>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</si>
  <si>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</si>
  <si>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</si>
  <si>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</si>
  <si>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</si>
  <si>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</si>
  <si>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</si>
  <si>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</si>
  <si>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</si>
  <si>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</si>
  <si>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</si>
  <si>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</si>
  <si>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</si>
  <si>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</si>
  <si>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</si>
  <si>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</si>
  <si>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</si>
  <si>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</si>
  <si>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</si>
  <si>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</si>
  <si>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</si>
  <si>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</si>
  <si>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</si>
  <si>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</si>
  <si>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</si>
  <si>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</si>
  <si>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</si>
  <si>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</si>
  <si>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</si>
  <si>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</si>
  <si>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</si>
  <si>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</si>
  <si>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</si>
  <si>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</si>
  <si>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</si>
  <si>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</si>
  <si>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</si>
  <si>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</si>
  <si>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</si>
  <si>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</si>
  <si>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</si>
  <si>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</si>
  <si>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</si>
  <si>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</si>
  <si>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</si>
  <si>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</si>
  <si>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</si>
  <si>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</si>
  <si>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</si>
  <si>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</si>
  <si>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</si>
  <si>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</si>
  <si>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</si>
  <si>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</si>
  <si>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</si>
  <si>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</si>
  <si>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</si>
  <si>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</si>
  <si>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</si>
  <si>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</si>
  <si>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</si>
  <si>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</si>
  <si>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</si>
  <si>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</si>
  <si>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</si>
  <si>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</si>
  <si>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</si>
  <si>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</si>
  <si>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</si>
  <si>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</si>
  <si>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</si>
  <si>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</si>
  <si>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</si>
  <si>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</si>
  <si>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</si>
  <si>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</si>
  <si>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</si>
  <si>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</si>
  <si>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</si>
  <si>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</si>
  <si>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</si>
  <si>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</si>
  <si>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</si>
  <si>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</si>
  <si>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</si>
  <si>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</si>
  <si>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</si>
  <si>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</si>
  <si>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</si>
  <si>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</si>
  <si>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</si>
  <si>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</si>
  <si>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</si>
  <si>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</si>
  <si>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</si>
  <si>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</si>
  <si>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</si>
  <si>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</si>
  <si>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</si>
  <si>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</si>
  <si>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</si>
  <si>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</si>
  <si>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</si>
  <si>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</si>
  <si>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</si>
  <si>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</si>
  <si>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</si>
  <si>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</si>
  <si>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</si>
  <si>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</si>
  <si>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</si>
  <si>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</si>
  <si>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</si>
  <si>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</si>
  <si>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</si>
  <si>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</si>
  <si>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</si>
  <si>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</si>
  <si>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</si>
  <si>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</si>
  <si>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</si>
  <si>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</si>
  <si>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</si>
  <si>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</si>
  <si>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</si>
  <si>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</si>
  <si>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</si>
  <si>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</si>
  <si>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</si>
  <si>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</si>
  <si>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</si>
  <si>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</si>
  <si>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</si>
  <si>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</si>
  <si>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</si>
  <si>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</si>
  <si>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</si>
  <si>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</si>
  <si>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</si>
  <si>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</si>
  <si>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</si>
  <si>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</si>
  <si>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</si>
  <si>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</si>
  <si>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</si>
  <si>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</si>
  <si>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</si>
  <si>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</si>
  <si>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</si>
  <si>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</si>
  <si>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</si>
  <si>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</si>
  <si>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</si>
  <si>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</si>
  <si>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</si>
  <si>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</si>
  <si>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</si>
  <si>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</si>
  <si>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</si>
  <si>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</si>
  <si>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</si>
  <si>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</si>
  <si>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</si>
  <si>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</si>
  <si>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</si>
  <si>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</si>
  <si>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</si>
  <si>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</si>
  <si>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</si>
  <si>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</si>
  <si>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</si>
  <si>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</si>
  <si>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</si>
  <si>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</si>
  <si>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</si>
  <si>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</si>
  <si>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</si>
  <si>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</si>
  <si>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</si>
  <si>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</si>
  <si>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</si>
  <si>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</si>
  <si>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</si>
  <si>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</si>
  <si>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</si>
  <si>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</si>
  <si>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</si>
  <si>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</si>
  <si>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</si>
  <si>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</si>
  <si>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</si>
  <si>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</si>
  <si>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</si>
  <si>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</si>
  <si>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</si>
  <si>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</si>
  <si>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</si>
  <si>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</si>
  <si>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</si>
  <si>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</si>
  <si>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</si>
  <si>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</si>
  <si>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</si>
  <si>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</si>
  <si>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</si>
  <si>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</si>
  <si>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</si>
  <si>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</si>
  <si>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</si>
  <si>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</si>
  <si>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</si>
  <si>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</si>
  <si>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</si>
  <si>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</si>
  <si>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</si>
  <si>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</si>
  <si>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</si>
  <si>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</si>
  <si>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</si>
  <si>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</si>
  <si>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</si>
  <si>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</si>
  <si>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</si>
  <si>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</si>
  <si>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</si>
  <si>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</si>
  <si>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</si>
  <si>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</si>
  <si>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</si>
  <si>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</si>
  <si>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</si>
  <si>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</si>
  <si>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</si>
  <si>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</si>
  <si>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</si>
  <si>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</si>
  <si>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</si>
  <si>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</si>
  <si>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</si>
  <si>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</si>
  <si>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</si>
  <si>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</si>
  <si>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</si>
  <si>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</si>
  <si>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</si>
  <si>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</si>
  <si>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</si>
  <si>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</si>
  <si>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</si>
  <si>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</si>
  <si>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</si>
  <si>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</si>
  <si>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</si>
  <si>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</si>
  <si>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</si>
  <si>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</si>
  <si>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</si>
  <si>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</si>
  <si>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</si>
  <si>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</si>
  <si>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</si>
  <si>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</si>
  <si>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</si>
  <si>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</si>
  <si>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</si>
  <si>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</si>
  <si>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</si>
  <si>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</si>
  <si>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</si>
  <si>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</si>
  <si>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</si>
  <si>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</si>
  <si>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</si>
  <si>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</si>
  <si>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</si>
  <si>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</si>
  <si>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</si>
  <si>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</si>
  <si>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</si>
  <si>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</si>
  <si>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</si>
  <si>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</si>
  <si>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</si>
  <si>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</si>
  <si>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</si>
  <si>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</si>
  <si>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</si>
  <si>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</si>
  <si>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</si>
  <si>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</si>
  <si>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</si>
  <si>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</si>
  <si>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</si>
  <si>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</si>
  <si>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</si>
  <si>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</si>
  <si>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</si>
  <si>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</si>
  <si>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</si>
  <si>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</si>
  <si>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</si>
  <si>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</si>
  <si>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</si>
  <si>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</si>
  <si>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</si>
  <si>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</si>
  <si>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</si>
  <si>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</si>
  <si>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</si>
  <si>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</si>
  <si>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</si>
  <si>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</si>
  <si>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</si>
  <si>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</si>
  <si>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</si>
  <si>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</si>
  <si>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</si>
  <si>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</si>
  <si>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</si>
  <si>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</si>
  <si>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</si>
  <si>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</si>
  <si>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</si>
  <si>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</si>
  <si>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</si>
  <si>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</si>
  <si>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</si>
  <si>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</si>
  <si>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</si>
  <si>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</si>
  <si>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</si>
  <si>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</si>
  <si>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</si>
  <si>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</si>
  <si>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</si>
  <si>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</si>
  <si>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</si>
  <si>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</si>
  <si>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</si>
  <si>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</si>
  <si>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</si>
  <si>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</si>
  <si>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</si>
  <si>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</si>
  <si>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</si>
  <si>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</si>
  <si>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</si>
  <si>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</si>
  <si>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</si>
  <si>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</si>
  <si>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</si>
  <si>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</si>
  <si>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</si>
  <si>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</si>
  <si>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</si>
  <si>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</si>
  <si>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</si>
  <si>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</si>
  <si>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</si>
  <si>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</si>
  <si>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</si>
  <si>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</si>
  <si>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</si>
  <si>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</si>
  <si>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</si>
  <si>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</si>
  <si>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</si>
  <si>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</si>
  <si>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</si>
  <si>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</si>
  <si>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</si>
  <si>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</si>
  <si>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</si>
  <si>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</si>
  <si>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</si>
  <si>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</si>
  <si>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</si>
  <si>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</si>
  <si>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</si>
  <si>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</si>
  <si>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</si>
  <si>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</si>
  <si>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</si>
  <si>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</si>
  <si>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</si>
  <si>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</si>
  <si>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</si>
  <si>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</si>
  <si>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</si>
  <si>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</si>
  <si>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</si>
  <si>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</si>
  <si>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</si>
  <si>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</si>
  <si>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</si>
  <si>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</si>
  <si>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</si>
  <si>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</si>
  <si>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</si>
  <si>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</si>
  <si>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</si>
  <si>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</si>
  <si>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</si>
  <si>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</si>
  <si>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</si>
  <si>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</si>
  <si>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</si>
  <si>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</si>
  <si>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</si>
  <si>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</si>
  <si>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</si>
  <si>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</si>
  <si>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</si>
  <si>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</si>
  <si>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</si>
  <si>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</si>
  <si>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</si>
  <si>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</si>
  <si>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</si>
  <si>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</si>
  <si>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</si>
  <si>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</si>
  <si>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</si>
  <si>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</si>
  <si>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</si>
  <si>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</si>
  <si>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</si>
  <si>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</si>
  <si>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</si>
  <si>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</si>
  <si>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</si>
  <si>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</si>
  <si>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</si>
  <si>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</si>
  <si>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</si>
  <si>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</si>
  <si>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</si>
  <si>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</si>
  <si>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</si>
  <si>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</si>
  <si>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</si>
  <si>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</si>
  <si>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</si>
  <si>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</si>
  <si>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</si>
  <si>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</si>
  <si>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</si>
  <si>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</si>
  <si>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</si>
  <si>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</si>
  <si>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</si>
  <si>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</si>
  <si>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</si>
  <si>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</si>
  <si>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</si>
  <si>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</si>
  <si>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</si>
  <si>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</si>
  <si>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</si>
  <si>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</si>
  <si>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</si>
  <si>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</si>
  <si>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</si>
  <si>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</si>
  <si>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</si>
  <si>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</si>
  <si>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</si>
  <si>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</si>
  <si>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</si>
  <si>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</si>
  <si>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</si>
  <si>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</si>
  <si>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</si>
  <si>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</si>
  <si>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</si>
  <si>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</si>
  <si>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</si>
  <si>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</si>
  <si>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</si>
  <si>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</si>
  <si>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</si>
  <si>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</si>
  <si>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</si>
  <si>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</si>
  <si>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</si>
  <si>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</si>
  <si>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</si>
  <si>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</si>
  <si>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</si>
  <si>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</si>
  <si>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</si>
  <si>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</si>
  <si>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</si>
  <si>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</si>
  <si>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</si>
  <si>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</si>
  <si>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</si>
  <si>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</si>
  <si>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</si>
  <si>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</si>
  <si>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</si>
  <si>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</si>
  <si>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</si>
  <si>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</si>
  <si>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</si>
  <si>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</si>
  <si>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</si>
  <si>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</si>
  <si>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</si>
  <si>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</si>
  <si>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</si>
  <si>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</si>
  <si>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</si>
  <si>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</si>
  <si>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</si>
  <si>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</si>
  <si>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</si>
  <si>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</si>
  <si>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</si>
  <si>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</si>
  <si>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</si>
  <si>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</si>
  <si>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</si>
  <si>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</si>
  <si>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</si>
  <si>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</si>
  <si>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</si>
  <si>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</si>
  <si>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</si>
  <si>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</si>
  <si>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</si>
  <si>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</si>
  <si>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</si>
  <si>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</si>
  <si>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</si>
  <si>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</si>
  <si>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</si>
  <si>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</si>
  <si>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</si>
  <si>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</si>
  <si>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</si>
  <si>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</si>
  <si>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</si>
  <si>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</si>
  <si>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</si>
  <si>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</si>
  <si>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</si>
  <si>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</si>
  <si>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</si>
  <si>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</si>
  <si>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</si>
  <si>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</si>
  <si>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</si>
  <si>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</si>
  <si>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</si>
  <si>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</si>
  <si>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</si>
  <si>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</si>
  <si>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</si>
  <si>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</si>
  <si>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</si>
  <si>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</si>
  <si>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</si>
  <si>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</si>
  <si>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</si>
  <si>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</si>
  <si>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</si>
  <si>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</si>
  <si>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</si>
  <si>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</si>
  <si>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</si>
  <si>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</si>
  <si>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</si>
  <si>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</si>
  <si>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</si>
  <si>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</si>
  <si>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</si>
  <si>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</si>
  <si>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</si>
  <si>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</si>
  <si>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</si>
  <si>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</si>
  <si>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</si>
  <si>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</si>
  <si>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</si>
  <si>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</si>
  <si>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</si>
  <si>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</si>
  <si>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</si>
  <si>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</si>
  <si>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</si>
  <si>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</si>
  <si>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</si>
  <si>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</si>
  <si>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</si>
  <si>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</si>
  <si>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</si>
  <si>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</si>
  <si>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</si>
  <si>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</si>
  <si>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</si>
  <si>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</si>
  <si>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</si>
  <si>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</si>
  <si>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</si>
  <si>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</si>
  <si>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</si>
  <si>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</si>
  <si>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</si>
  <si>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</si>
  <si>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</si>
  <si>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</si>
  <si>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</si>
  <si>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</si>
  <si>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</si>
  <si>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</si>
  <si>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</si>
  <si>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</si>
  <si>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</si>
  <si>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</si>
  <si>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</si>
  <si>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</si>
  <si>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</si>
  <si>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</si>
  <si>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</si>
  <si>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</si>
  <si>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</si>
  <si>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</si>
  <si>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</si>
  <si>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</si>
  <si>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</si>
  <si>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</si>
  <si>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</si>
  <si>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</si>
  <si>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</si>
  <si>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</si>
  <si>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</si>
  <si>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</si>
  <si>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</si>
  <si>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</si>
  <si>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</si>
  <si>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</si>
  <si>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</si>
  <si>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</si>
  <si>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</si>
  <si>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</si>
  <si>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</si>
  <si>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</si>
  <si>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</si>
  <si>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</si>
  <si>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</si>
  <si>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</si>
  <si>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</si>
  <si>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</si>
  <si>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</si>
  <si>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</si>
  <si>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</si>
  <si>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</si>
  <si>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</si>
  <si>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</si>
  <si>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</si>
  <si>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</si>
  <si>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</si>
  <si>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</si>
  <si>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</si>
  <si>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</si>
  <si>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</si>
  <si>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</si>
  <si>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</si>
  <si>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</si>
  <si>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</si>
  <si>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</si>
  <si>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</si>
  <si>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</si>
  <si>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</si>
  <si>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</si>
  <si>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</si>
  <si>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</si>
  <si>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</si>
  <si>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</si>
  <si>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</si>
  <si>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</si>
  <si>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</si>
  <si>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</si>
  <si>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</si>
  <si>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</si>
  <si>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</si>
  <si>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</si>
  <si>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</si>
  <si>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</si>
  <si>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</si>
  <si>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</si>
  <si>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</si>
  <si>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</si>
  <si>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</si>
  <si>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</si>
  <si>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</si>
  <si>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</si>
  <si>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</si>
  <si>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</si>
  <si>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</si>
  <si>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</si>
  <si>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</si>
  <si>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</si>
  <si>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</si>
  <si>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</si>
  <si>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</si>
  <si>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</si>
  <si>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</si>
  <si>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</si>
  <si>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</si>
  <si>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</si>
  <si>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</si>
  <si>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</si>
  <si>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</si>
  <si>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</si>
  <si>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</si>
  <si>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</si>
  <si>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</si>
  <si>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</si>
  <si>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</si>
  <si>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</si>
  <si>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</si>
  <si>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</si>
  <si>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</si>
  <si>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</si>
  <si>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</si>
  <si>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</si>
  <si>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</si>
  <si>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</si>
  <si>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</si>
  <si>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</si>
  <si>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</si>
  <si>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</si>
  <si>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</si>
  <si>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</si>
  <si>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</si>
  <si>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</si>
  <si>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</si>
  <si>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</si>
  <si>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</si>
  <si>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</si>
  <si>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</si>
  <si>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</si>
  <si>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</si>
  <si>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</si>
  <si>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</si>
  <si>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</si>
  <si>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</si>
  <si>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</si>
  <si>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</si>
  <si>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</si>
  <si>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</si>
  <si>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</si>
  <si>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</si>
  <si>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</si>
  <si>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</si>
  <si>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</si>
  <si>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</si>
  <si>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</si>
  <si>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</si>
  <si>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</si>
  <si>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</si>
  <si>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</si>
  <si>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</si>
  <si>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</si>
  <si>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</si>
  <si>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</si>
  <si>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</si>
  <si>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</si>
  <si>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</si>
  <si>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</si>
  <si>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</si>
  <si>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</si>
  <si>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</si>
  <si>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</si>
  <si>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</si>
  <si>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</si>
  <si>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</si>
  <si>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</si>
  <si>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</si>
  <si>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</si>
  <si>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</si>
  <si>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</si>
  <si>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</si>
  <si>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</si>
  <si>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</si>
  <si>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</si>
  <si>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</si>
  <si>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</si>
  <si>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</si>
  <si>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</si>
  <si>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</si>
  <si>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</si>
  <si>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</si>
  <si>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</si>
  <si>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</si>
  <si>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</si>
  <si>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</si>
  <si>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</si>
  <si>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</si>
  <si>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</si>
  <si>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</si>
  <si>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</si>
  <si>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</si>
  <si>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</si>
  <si>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</si>
  <si>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</si>
  <si>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</si>
  <si>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</si>
  <si>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</si>
  <si>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</si>
  <si>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</si>
  <si>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</si>
  <si>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</si>
  <si>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</si>
  <si>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</si>
  <si>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</si>
  <si>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</si>
  <si>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</si>
  <si>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</si>
  <si>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</si>
  <si>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</si>
  <si>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</si>
  <si>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</si>
  <si>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</si>
  <si>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</si>
  <si>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</si>
  <si>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</si>
  <si>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</si>
  <si>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</si>
  <si>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</si>
  <si>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</si>
  <si>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</si>
  <si>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</si>
  <si>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</si>
  <si>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</si>
  <si>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</si>
  <si>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</si>
  <si>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</si>
  <si>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</si>
  <si>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</si>
  <si>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</si>
  <si>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</si>
  <si>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</si>
  <si>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</si>
  <si>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</si>
  <si>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</si>
  <si>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</si>
  <si>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</si>
  <si>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</si>
  <si>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</si>
  <si>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</si>
  <si>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</si>
  <si>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</si>
  <si>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</si>
  <si>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</si>
  <si>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</si>
  <si>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</si>
  <si>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</si>
  <si>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</si>
  <si>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</si>
  <si>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</si>
  <si>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</si>
  <si>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</si>
  <si>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</si>
  <si>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</si>
  <si>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</si>
  <si>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</si>
  <si>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</si>
  <si>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</si>
  <si>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</si>
  <si>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</si>
  <si>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</si>
  <si>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</si>
  <si>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</si>
  <si>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</si>
  <si>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</si>
  <si>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</si>
  <si>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</si>
  <si>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</si>
  <si>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</si>
  <si>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</si>
  <si>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</si>
  <si>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</si>
  <si>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</si>
  <si>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</si>
  <si>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</si>
  <si>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</si>
  <si>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</si>
  <si>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</si>
  <si>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</si>
  <si>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</si>
  <si>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</si>
  <si>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</si>
  <si>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</si>
  <si>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</si>
  <si>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</si>
  <si>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</si>
  <si>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</si>
  <si>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</si>
  <si>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</si>
  <si>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</si>
  <si>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</si>
  <si>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</si>
  <si>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</si>
  <si>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</si>
  <si>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</si>
  <si>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</si>
  <si>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</si>
  <si>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</si>
  <si>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</si>
  <si>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</si>
  <si>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</si>
  <si>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</si>
  <si>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</si>
  <si>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</si>
  <si>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</si>
  <si>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</si>
  <si>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</si>
  <si>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</si>
  <si>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</si>
  <si>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</si>
  <si>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</si>
  <si>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</si>
  <si>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</si>
  <si>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</si>
  <si>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</si>
  <si>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</si>
  <si>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</si>
  <si>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</si>
  <si>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</si>
  <si>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</si>
  <si>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</si>
  <si>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</si>
  <si>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</si>
  <si>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</si>
  <si>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</si>
  <si>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</si>
  <si>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</si>
  <si>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</si>
  <si>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</si>
  <si>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</si>
  <si>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</si>
  <si>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</si>
  <si>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</si>
  <si>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</si>
  <si>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</si>
  <si>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</si>
  <si>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</si>
  <si>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</si>
  <si>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</si>
  <si>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</si>
  <si>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</si>
  <si>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</si>
  <si>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</si>
  <si>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</si>
  <si>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</si>
  <si>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</si>
  <si>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</si>
  <si>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</si>
  <si>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</si>
  <si>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</si>
  <si>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</si>
  <si>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</si>
  <si>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</si>
  <si>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</si>
  <si>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</si>
  <si>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</si>
  <si>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</si>
  <si>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</si>
  <si>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</si>
  <si>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</si>
  <si>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</si>
  <si>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</si>
  <si>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</si>
  <si>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</si>
  <si>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</si>
  <si>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</si>
  <si>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</si>
  <si>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</si>
  <si>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</si>
  <si>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</si>
  <si>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</si>
  <si>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</si>
  <si>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</si>
  <si>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</si>
  <si>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</si>
  <si>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</si>
  <si>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</si>
  <si>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</si>
  <si>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</si>
  <si>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</si>
  <si>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</si>
  <si>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</si>
  <si>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</si>
  <si>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</si>
  <si>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</si>
  <si>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</si>
  <si>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</si>
  <si>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</si>
  <si>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</si>
  <si>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</si>
  <si>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</si>
  <si>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</si>
  <si>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</si>
  <si>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</si>
  <si>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</si>
  <si>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</si>
  <si>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</si>
  <si>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</si>
  <si>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</si>
  <si>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</si>
  <si>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</si>
  <si>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</si>
  <si>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</si>
  <si>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</si>
  <si>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</si>
  <si>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</si>
  <si>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</si>
  <si>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</si>
  <si>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</si>
  <si>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</si>
  <si>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</si>
  <si>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</si>
  <si>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</si>
  <si>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</si>
  <si>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</si>
  <si>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</si>
  <si>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</si>
  <si>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</si>
  <si>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</si>
  <si>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</si>
  <si>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</si>
  <si>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</si>
  <si>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</si>
  <si>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</si>
  <si>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</si>
  <si>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</si>
  <si>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</si>
  <si>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</si>
  <si>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</si>
  <si>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</si>
  <si>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</si>
  <si>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</si>
  <si>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</si>
  <si>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</si>
  <si>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</si>
  <si>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</si>
  <si>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</si>
  <si>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</si>
  <si>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</si>
  <si>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</si>
  <si>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</si>
  <si>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</si>
  <si>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</si>
  <si>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</si>
  <si>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</si>
  <si>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</si>
  <si>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</si>
  <si>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</si>
  <si>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</si>
  <si>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</si>
  <si>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</si>
  <si>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</si>
  <si>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</si>
  <si>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</si>
  <si>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</si>
  <si>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</si>
  <si>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</si>
  <si>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</si>
  <si>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</si>
  <si>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</si>
  <si>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</si>
  <si>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</si>
  <si>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</si>
  <si>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</si>
  <si>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</si>
  <si>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</si>
  <si>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</si>
  <si>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</si>
  <si>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</si>
  <si>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</si>
  <si>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</si>
  <si>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</si>
  <si>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</si>
  <si>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</si>
  <si>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</si>
  <si>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</si>
  <si>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</si>
  <si>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</si>
  <si>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</si>
  <si>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</si>
  <si>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</si>
  <si>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</si>
  <si>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</si>
  <si>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</si>
  <si>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</si>
  <si>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</si>
  <si>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</si>
  <si>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</si>
  <si>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</si>
  <si>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</si>
  <si>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</si>
  <si>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</si>
  <si>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</si>
  <si>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</si>
  <si>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</si>
  <si>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</si>
  <si>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</si>
  <si>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</si>
  <si>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</si>
  <si>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</si>
  <si>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</si>
  <si>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</si>
  <si>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</si>
  <si>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</si>
  <si>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</si>
  <si>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</si>
  <si>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</si>
  <si>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</si>
  <si>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</si>
  <si>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</si>
  <si>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</si>
  <si>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</si>
  <si>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</si>
  <si>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</si>
  <si>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</si>
  <si>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</si>
  <si>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</si>
  <si>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</si>
  <si>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</si>
  <si>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</si>
  <si>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</si>
  <si>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</si>
  <si>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</si>
  <si>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</si>
  <si>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</si>
  <si>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</si>
  <si>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</si>
  <si>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</si>
  <si>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</si>
  <si>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</si>
  <si>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</si>
  <si>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</si>
  <si>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</si>
  <si>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</si>
  <si>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</si>
  <si>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</si>
  <si>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</si>
  <si>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</si>
  <si>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</si>
  <si>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</si>
  <si>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</si>
  <si>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</si>
  <si>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</si>
  <si>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</si>
  <si>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</si>
  <si>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</si>
  <si>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</si>
  <si>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</si>
  <si>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</si>
  <si>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</si>
  <si>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</si>
  <si>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</si>
  <si>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</si>
  <si>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</si>
  <si>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</si>
  <si>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</si>
  <si>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</si>
  <si>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</si>
  <si>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</si>
  <si>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</si>
  <si>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</si>
  <si>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</si>
  <si>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</si>
  <si>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</si>
  <si>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</si>
  <si>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</si>
  <si>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</si>
  <si>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</si>
  <si>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</si>
  <si>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</si>
  <si>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</si>
  <si>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</si>
  <si>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</si>
  <si>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</si>
  <si>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</si>
  <si>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</si>
  <si>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</si>
  <si>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</si>
  <si>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</si>
  <si>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</si>
  <si>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</si>
  <si>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</si>
  <si>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</si>
  <si>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</si>
  <si>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</si>
  <si>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</si>
  <si>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</si>
  <si>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</si>
  <si>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</si>
  <si>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</si>
  <si>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</si>
  <si>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</si>
  <si>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</si>
  <si>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</si>
  <si>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</si>
  <si>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</si>
  <si>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</si>
  <si>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</si>
  <si>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</si>
  <si>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</si>
  <si>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</si>
  <si>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</si>
  <si>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</si>
  <si>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</si>
  <si>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</si>
  <si>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</si>
  <si>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</si>
  <si>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</si>
  <si>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</si>
  <si>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</si>
  <si>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</si>
  <si>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</si>
  <si>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</si>
  <si>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</si>
  <si>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</si>
  <si>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</si>
  <si>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</si>
  <si>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</si>
  <si>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</si>
  <si>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</si>
  <si>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</si>
  <si>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</si>
  <si>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</si>
  <si>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</si>
  <si>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</si>
  <si>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</si>
  <si>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</si>
  <si>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</si>
  <si>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</si>
  <si>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</si>
  <si>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</si>
  <si>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</si>
  <si>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</si>
  <si>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</si>
  <si>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</si>
  <si>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</si>
  <si>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</si>
  <si>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</si>
  <si>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</si>
  <si>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</si>
  <si>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</si>
  <si>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</si>
  <si>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</si>
  <si>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</si>
  <si>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</si>
  <si>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</si>
  <si>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</si>
  <si>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</si>
  <si>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</si>
  <si>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</si>
  <si>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</si>
  <si>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</si>
  <si>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</si>
  <si>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</si>
  <si>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</si>
  <si>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</si>
  <si>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</si>
  <si>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</si>
  <si>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</si>
  <si>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</si>
  <si>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</si>
  <si>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</si>
  <si>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</si>
  <si>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</si>
  <si>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</si>
  <si>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</si>
  <si>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</si>
  <si>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</si>
  <si>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</si>
  <si>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</si>
  <si>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</si>
  <si>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</si>
  <si>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</si>
  <si>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</si>
  <si>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</si>
  <si>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</si>
  <si>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</si>
  <si>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</si>
  <si>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</si>
  <si>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</si>
  <si>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</si>
  <si>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</si>
  <si>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</si>
  <si>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</si>
  <si>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</si>
  <si>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</si>
  <si>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</si>
  <si>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</si>
  <si>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</si>
  <si>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</si>
  <si>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</si>
  <si>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</si>
  <si>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</si>
  <si>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</si>
  <si>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</si>
  <si>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</si>
  <si>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</si>
  <si>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</si>
  <si>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</si>
  <si>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</si>
  <si>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</si>
  <si>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</si>
  <si>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</si>
  <si>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</si>
  <si>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</si>
  <si>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</si>
  <si>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</si>
  <si>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</si>
  <si>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</si>
  <si>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</si>
  <si>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</si>
  <si>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</si>
  <si>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</si>
  <si>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</si>
  <si>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</si>
  <si>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</si>
  <si>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</si>
  <si>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</si>
  <si>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</si>
  <si>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</si>
  <si>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</si>
  <si>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</si>
  <si>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</si>
  <si>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</si>
  <si>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</si>
  <si>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</si>
  <si>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</si>
  <si>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</si>
  <si>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</si>
  <si>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</si>
  <si>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</si>
  <si>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</si>
  <si>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</si>
  <si>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</si>
  <si>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</si>
  <si>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</si>
  <si>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</si>
  <si>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</si>
  <si>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</si>
  <si>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</si>
  <si>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</si>
  <si>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</si>
  <si>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</si>
  <si>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</si>
  <si>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</si>
  <si>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</si>
  <si>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</si>
  <si>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</si>
  <si>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</si>
  <si>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</si>
  <si>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</si>
  <si>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</si>
  <si>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</si>
  <si>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</si>
  <si>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</si>
  <si>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</si>
  <si>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</si>
  <si>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</si>
  <si>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</si>
  <si>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</si>
  <si>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</si>
  <si>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</si>
  <si>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</si>
  <si>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</si>
  <si>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</si>
  <si>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</si>
  <si>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</si>
  <si>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</si>
  <si>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</si>
  <si>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</si>
  <si>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</si>
  <si>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</si>
  <si>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</si>
  <si>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</si>
  <si>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</si>
  <si>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</si>
  <si>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</si>
  <si>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</si>
  <si>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</si>
  <si>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</si>
  <si>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</si>
  <si>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</si>
  <si>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</si>
  <si>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</si>
  <si>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</si>
  <si>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</si>
  <si>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</si>
  <si>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</si>
  <si>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</si>
  <si>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</si>
  <si>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</si>
  <si>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</si>
  <si>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</si>
  <si>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</si>
  <si>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</si>
  <si>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</si>
  <si>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</si>
  <si>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</si>
  <si>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</si>
  <si>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</si>
  <si>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</si>
  <si>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</si>
  <si>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</si>
  <si>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</si>
  <si>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</si>
  <si>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</si>
  <si>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</si>
  <si>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</si>
  <si>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</si>
  <si>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</si>
  <si>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</si>
  <si>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</si>
  <si>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</si>
  <si>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</si>
  <si>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</si>
  <si>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</si>
  <si>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</si>
  <si>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</si>
  <si>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</si>
  <si>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</si>
  <si>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</si>
  <si>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</si>
  <si>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</si>
  <si>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</si>
  <si>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</si>
  <si>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</si>
  <si>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</si>
  <si>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</si>
  <si>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</si>
  <si>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</si>
  <si>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</si>
  <si>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</si>
  <si>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</si>
  <si>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</si>
  <si>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</si>
  <si>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</si>
  <si>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</si>
  <si>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</si>
  <si>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</si>
  <si>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</si>
  <si>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</si>
  <si>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</si>
  <si>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</si>
  <si>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</si>
  <si>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</si>
  <si>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</si>
  <si>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</si>
  <si>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</si>
  <si>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</si>
  <si>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</si>
  <si>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</si>
  <si>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</si>
  <si>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</si>
  <si>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</si>
  <si>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</si>
  <si>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</si>
  <si>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</si>
  <si>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</si>
  <si>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</si>
  <si>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</si>
  <si>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</si>
  <si>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</si>
  <si>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</si>
  <si>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</si>
  <si>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</si>
  <si>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</si>
  <si>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</si>
  <si>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</si>
  <si>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</si>
  <si>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</si>
  <si>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</si>
  <si>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</si>
  <si>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</si>
  <si>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</si>
  <si>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</si>
  <si>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</si>
  <si>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</si>
  <si>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</si>
  <si>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</si>
  <si>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</si>
  <si>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</si>
  <si>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</si>
  <si>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</si>
  <si>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</si>
  <si>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</si>
  <si>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</si>
  <si>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</si>
  <si>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</si>
  <si>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</si>
  <si>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</si>
  <si>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</si>
  <si>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</si>
  <si>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</si>
  <si>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</si>
  <si>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</si>
  <si>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</si>
  <si>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</si>
  <si>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</si>
  <si>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</si>
  <si>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</si>
  <si>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</si>
  <si>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</si>
  <si>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</si>
  <si>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</si>
  <si>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</si>
  <si>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</si>
  <si>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</si>
  <si>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</si>
  <si>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</si>
  <si>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</si>
  <si>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</si>
  <si>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</si>
  <si>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</si>
  <si>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</si>
  <si>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</si>
  <si>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</si>
  <si>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</si>
  <si>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</si>
  <si>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</si>
  <si>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</si>
  <si>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</si>
  <si>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</si>
  <si>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</si>
  <si>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</si>
  <si>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</si>
  <si>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</si>
  <si>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</si>
  <si>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</si>
  <si>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</si>
  <si>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</si>
  <si>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</si>
  <si>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</si>
  <si>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</si>
  <si>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</si>
  <si>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</si>
  <si>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</si>
  <si>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</si>
  <si>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</si>
  <si>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</si>
  <si>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</si>
  <si>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</si>
  <si>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</si>
  <si>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</si>
  <si>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</si>
  <si>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</si>
  <si>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</si>
  <si>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</si>
  <si>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</si>
  <si>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</si>
  <si>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</si>
  <si>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</si>
  <si>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</si>
  <si>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</si>
  <si>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</si>
  <si>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</si>
  <si>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</si>
  <si>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</si>
  <si>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</si>
  <si>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</si>
  <si>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</si>
  <si>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</si>
  <si>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</si>
  <si>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</si>
  <si>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</si>
  <si>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</si>
  <si>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</si>
  <si>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</si>
  <si>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</si>
  <si>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</si>
  <si>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</si>
  <si>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</si>
  <si>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</si>
  <si>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</si>
  <si>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</si>
  <si>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</si>
  <si>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</si>
  <si>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</si>
  <si>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</si>
  <si>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</si>
  <si>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</si>
  <si>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</si>
  <si>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</si>
  <si>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</si>
  <si>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</si>
  <si>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</si>
  <si>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</si>
  <si>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</si>
  <si>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</si>
  <si>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</si>
  <si>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</si>
  <si>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</si>
  <si>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</si>
  <si>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</si>
  <si>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</si>
  <si>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</si>
  <si>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</si>
  <si>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</si>
  <si>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</si>
  <si>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</si>
  <si>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</si>
  <si>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</si>
  <si>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</si>
  <si>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</si>
  <si>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</si>
  <si>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</si>
  <si>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</si>
  <si>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</si>
  <si>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</si>
  <si>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</si>
  <si>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</si>
  <si>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</si>
  <si>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</si>
  <si>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</si>
  <si>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</si>
  <si>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</si>
  <si>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</si>
  <si>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</si>
  <si>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</si>
  <si>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</si>
  <si>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</si>
  <si>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</si>
  <si>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</si>
  <si>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</si>
  <si>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</si>
  <si>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</si>
  <si>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</si>
  <si>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</si>
  <si>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</si>
  <si>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</si>
  <si>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</si>
  <si>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</si>
  <si>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</si>
  <si>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</si>
  <si>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</si>
  <si>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</si>
  <si>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</si>
  <si>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</si>
  <si>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</si>
  <si>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</si>
  <si>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</si>
  <si>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</si>
  <si>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</si>
  <si>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</si>
  <si>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</si>
  <si>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</si>
  <si>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</si>
  <si>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</si>
  <si>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</si>
  <si>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</si>
  <si>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</si>
  <si>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</si>
  <si>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</si>
  <si>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</si>
  <si>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</si>
  <si>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</si>
  <si>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</si>
  <si>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</si>
  <si>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</si>
  <si>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</si>
  <si>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</si>
  <si>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</si>
  <si>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</si>
  <si>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</si>
  <si>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</si>
  <si>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</si>
  <si>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</si>
  <si>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</si>
  <si>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</si>
  <si>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</si>
  <si>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</si>
  <si>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</si>
  <si>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</si>
  <si>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</si>
  <si>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</si>
  <si>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</si>
  <si>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</si>
  <si>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</si>
  <si>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</si>
  <si>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</si>
  <si>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</si>
  <si>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</si>
  <si>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</si>
  <si>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</si>
  <si>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</si>
  <si>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</si>
  <si>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</si>
  <si>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</si>
  <si>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</si>
  <si>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</si>
  <si>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</si>
  <si>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</si>
  <si>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</si>
  <si>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</si>
  <si>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</si>
  <si>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</si>
  <si>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</si>
  <si>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</si>
  <si>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</si>
  <si>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</si>
  <si>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</si>
  <si>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</si>
  <si>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</si>
  <si>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</si>
  <si>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</si>
  <si>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</si>
  <si>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</si>
  <si>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</si>
  <si>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</si>
  <si>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</si>
  <si>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</si>
  <si>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</si>
  <si>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</si>
  <si>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</si>
  <si>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</si>
  <si>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</si>
  <si>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</si>
  <si>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</si>
  <si>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</si>
  <si>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</si>
  <si>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</si>
  <si>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</si>
  <si>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</si>
  <si>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</si>
  <si>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</si>
  <si>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</si>
  <si>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</si>
  <si>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</si>
  <si>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</si>
  <si>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</si>
  <si>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</si>
  <si>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</si>
  <si>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</si>
  <si>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</si>
  <si>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</si>
  <si>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</si>
  <si>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</si>
  <si>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</si>
  <si>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</si>
  <si>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</si>
  <si>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</si>
  <si>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</si>
  <si>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</si>
  <si>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</si>
  <si>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</si>
  <si>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</si>
  <si>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</si>
  <si>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</si>
  <si>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</si>
  <si>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</si>
  <si>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</si>
  <si>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</si>
  <si>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</si>
  <si>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</si>
  <si>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</si>
  <si>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</si>
  <si>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</si>
  <si>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</si>
  <si>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</si>
  <si>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</si>
  <si>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</si>
  <si>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</si>
  <si>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</si>
  <si>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</si>
  <si>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</si>
  <si>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</si>
  <si>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</si>
  <si>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</si>
  <si>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</si>
  <si>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</si>
  <si>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</si>
  <si>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</si>
  <si>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</si>
  <si>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</si>
  <si>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</si>
  <si>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</si>
  <si>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</si>
  <si>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</si>
  <si>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</si>
  <si>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</si>
  <si>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</si>
  <si>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</si>
  <si>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</si>
  <si>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</si>
  <si>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</si>
  <si>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</si>
  <si>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</si>
  <si>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</si>
  <si>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</si>
  <si>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</si>
  <si>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</si>
  <si>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</si>
  <si>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</si>
  <si>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</si>
  <si>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</si>
  <si>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</si>
  <si>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</si>
  <si>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</si>
  <si>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</si>
  <si>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</si>
  <si>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</si>
  <si>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</si>
  <si>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</si>
  <si>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</si>
  <si>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</si>
  <si>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</si>
  <si>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</si>
  <si>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</si>
  <si>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</si>
  <si>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</si>
  <si>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</si>
  <si>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</si>
  <si>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</si>
  <si>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</si>
  <si>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</si>
  <si>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</si>
  <si>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</si>
  <si>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</si>
  <si>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</si>
  <si>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</si>
  <si>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</si>
  <si>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</si>
  <si>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</si>
  <si>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</si>
  <si>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</si>
  <si>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</si>
  <si>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</si>
  <si>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</si>
  <si>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</si>
  <si>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</si>
  <si>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</si>
  <si>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</si>
  <si>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</si>
  <si>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</si>
  <si>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</si>
  <si>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</si>
  <si>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</si>
  <si>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</si>
  <si>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</si>
  <si>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</si>
  <si>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</si>
  <si>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</si>
  <si>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</si>
  <si>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</si>
  <si>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</si>
  <si>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</si>
  <si>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</si>
  <si>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</si>
  <si>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</si>
  <si>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</si>
  <si>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</si>
  <si>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</si>
  <si>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</si>
  <si>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</si>
  <si>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</si>
  <si>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</si>
  <si>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</si>
  <si>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</si>
  <si>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</si>
  <si>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</si>
  <si>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</si>
  <si>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</si>
  <si>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</si>
  <si>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</si>
  <si>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</si>
  <si>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</si>
  <si>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</si>
  <si>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</si>
  <si>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</si>
  <si>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</si>
  <si>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</si>
  <si>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</si>
  <si>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</si>
  <si>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</si>
  <si>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</si>
  <si>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</si>
  <si>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</si>
  <si>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</si>
  <si>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</si>
  <si>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</si>
  <si>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</si>
  <si>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</si>
  <si>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</si>
  <si>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</si>
  <si>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</si>
  <si>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</si>
  <si>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</si>
  <si>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</si>
  <si>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</si>
  <si>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</si>
  <si>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</si>
  <si>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</si>
  <si>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</si>
  <si>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</si>
  <si>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</si>
  <si>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</si>
  <si>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</si>
  <si>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</si>
  <si>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</si>
  <si>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</si>
  <si>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</si>
  <si>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</si>
  <si>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</si>
  <si>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</si>
  <si>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</si>
  <si>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</si>
  <si>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</si>
  <si>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</si>
  <si>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</si>
  <si>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</si>
  <si>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</si>
  <si>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</si>
  <si>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</si>
  <si>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</si>
  <si>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</si>
  <si>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</si>
  <si>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</si>
  <si>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</si>
  <si>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</si>
  <si>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</si>
  <si>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</si>
  <si>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</si>
  <si>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</si>
  <si>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</si>
  <si>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</si>
  <si>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</si>
  <si>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</si>
  <si>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</si>
  <si>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</si>
  <si>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</si>
  <si>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</si>
  <si>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</si>
  <si>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</si>
  <si>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</si>
  <si>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</si>
  <si>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</si>
  <si>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</si>
  <si>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</si>
  <si>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</si>
  <si>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</si>
  <si>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</si>
  <si>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</si>
  <si>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</si>
  <si>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</si>
  <si>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</si>
  <si>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</si>
  <si>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</si>
  <si>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</si>
  <si>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</si>
  <si>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</si>
  <si>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</si>
  <si>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</si>
  <si>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</si>
  <si>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</si>
  <si>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</si>
  <si>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</si>
  <si>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</si>
  <si>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</si>
  <si>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</si>
  <si>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</si>
  <si>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</si>
  <si>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</si>
  <si>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</si>
  <si>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</si>
  <si>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</si>
  <si>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</si>
  <si>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</si>
  <si>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</si>
  <si>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</si>
  <si>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</si>
  <si>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</si>
  <si>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</si>
  <si>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</si>
  <si>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</si>
  <si>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</si>
  <si>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</si>
  <si>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</si>
  <si>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</si>
  <si>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</si>
  <si>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</si>
  <si>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</si>
  <si>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</si>
  <si>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</si>
  <si>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</si>
  <si>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</si>
  <si>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</si>
  <si>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</si>
  <si>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</si>
  <si>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</si>
  <si>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</si>
  <si>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</si>
  <si>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</si>
  <si>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</si>
  <si>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</si>
  <si>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</si>
  <si>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</si>
  <si>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</si>
  <si>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</si>
  <si>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</si>
  <si>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</si>
  <si>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</si>
  <si>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</si>
  <si>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</si>
  <si>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</si>
  <si>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</si>
  <si>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</si>
  <si>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</si>
  <si>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</si>
  <si>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</si>
  <si>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</si>
  <si>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</si>
  <si>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</si>
  <si>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</si>
  <si>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</si>
  <si>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</si>
  <si>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</si>
  <si>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</si>
  <si>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</si>
  <si>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</si>
  <si>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</si>
  <si>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</si>
  <si>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</si>
  <si>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</si>
  <si>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</si>
  <si>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</si>
  <si>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</si>
  <si>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</si>
  <si>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</si>
  <si>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</si>
  <si>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</si>
  <si>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</si>
  <si>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</si>
  <si>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</si>
  <si>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</si>
  <si>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</si>
  <si>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</si>
  <si>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</si>
  <si>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</si>
  <si>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</si>
  <si>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</si>
  <si>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</si>
  <si>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</si>
  <si>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</si>
  <si>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</si>
  <si>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</si>
  <si>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</si>
  <si>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</si>
  <si>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</si>
  <si>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</si>
  <si>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</si>
  <si>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</si>
  <si>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</si>
  <si>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</si>
  <si>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</si>
  <si>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</si>
  <si>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</si>
  <si>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</si>
  <si>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</si>
  <si>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</si>
  <si>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</si>
  <si>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</si>
  <si>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</si>
  <si>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</si>
  <si>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</si>
  <si>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</si>
  <si>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</si>
  <si>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</si>
  <si>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</si>
  <si>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</si>
  <si>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</si>
  <si>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</si>
  <si>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</si>
  <si>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</si>
  <si>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</si>
  <si>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</si>
  <si>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</si>
  <si>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</si>
  <si>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</si>
  <si>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</si>
  <si>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</si>
  <si>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</si>
  <si>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</si>
  <si>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</si>
  <si>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</si>
  <si>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</si>
  <si>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</si>
  <si>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</si>
  <si>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</si>
  <si>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</si>
  <si>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</si>
  <si>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</si>
  <si>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</si>
  <si>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</si>
  <si>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</si>
  <si>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</si>
  <si>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</si>
  <si>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</si>
  <si>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</si>
  <si>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</si>
  <si>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</si>
  <si>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</si>
  <si>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</si>
  <si>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</si>
  <si>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</si>
  <si>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</si>
  <si>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</si>
  <si>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</si>
  <si>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</si>
  <si>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</si>
  <si>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</si>
  <si>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</si>
  <si>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</si>
  <si>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</si>
  <si>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</si>
  <si>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</si>
  <si>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</si>
  <si>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</si>
  <si>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</si>
  <si>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</si>
  <si>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</si>
  <si>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</si>
  <si>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</si>
  <si>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</si>
  <si>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</si>
  <si>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</si>
  <si>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</si>
  <si>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</si>
  <si>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</si>
  <si>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</si>
  <si>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</si>
  <si>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</si>
  <si>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</si>
  <si>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</si>
  <si>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</si>
  <si>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</si>
  <si>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</si>
  <si>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</si>
  <si>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</si>
  <si>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</si>
  <si>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</si>
  <si>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</si>
  <si>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</si>
  <si>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</si>
  <si>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</si>
  <si>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</si>
  <si>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</si>
  <si>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</si>
  <si>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</si>
  <si>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</si>
  <si>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</si>
  <si>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</si>
  <si>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</si>
  <si>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</si>
  <si>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</si>
  <si>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</si>
  <si>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</si>
  <si>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</si>
  <si>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</si>
  <si>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</si>
  <si>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</si>
  <si>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</si>
  <si>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</si>
  <si>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</si>
  <si>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</si>
  <si>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</si>
  <si>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</si>
  <si>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</si>
  <si>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</si>
  <si>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</si>
  <si>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</si>
  <si>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</si>
  <si>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</si>
  <si>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</si>
  <si>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</si>
  <si>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</si>
  <si>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</si>
  <si>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</si>
  <si>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</si>
  <si>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</si>
  <si>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</si>
  <si>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</si>
  <si>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</si>
  <si>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</si>
  <si>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</si>
  <si>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</si>
  <si>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</si>
  <si>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</si>
  <si>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</si>
  <si>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</si>
  <si>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</si>
  <si>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</si>
  <si>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</si>
  <si>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</si>
  <si>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</si>
  <si>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</si>
  <si>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</si>
  <si>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</si>
  <si>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</si>
  <si>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</si>
  <si>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</si>
  <si>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</si>
  <si>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</si>
  <si>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</si>
  <si>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</si>
  <si>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</si>
  <si>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</si>
  <si>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</si>
  <si>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</si>
  <si>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</si>
  <si>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</si>
  <si>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</si>
  <si>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</si>
  <si>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</si>
  <si>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</si>
  <si>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</si>
  <si>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</si>
  <si>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</si>
  <si>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</si>
  <si>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</si>
  <si>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</si>
  <si>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</si>
  <si>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</si>
  <si>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</si>
  <si>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</si>
  <si>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</si>
  <si>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</si>
  <si>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</si>
  <si>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</si>
  <si>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</si>
  <si>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</si>
  <si>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</si>
  <si>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</si>
  <si>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</si>
  <si>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</si>
  <si>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</si>
  <si>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</si>
  <si>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</si>
  <si>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</si>
  <si>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</si>
  <si>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</si>
  <si>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</si>
  <si>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</si>
  <si>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</si>
  <si>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</si>
  <si>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</si>
  <si>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</si>
  <si>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</si>
  <si>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</si>
  <si>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</si>
  <si>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</si>
  <si>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</si>
  <si>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</si>
  <si>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</si>
  <si>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</si>
  <si>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</si>
  <si>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</si>
  <si>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</si>
  <si>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</si>
  <si>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</si>
  <si>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</si>
  <si>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</si>
  <si>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</si>
  <si>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</si>
  <si>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</si>
  <si>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</si>
  <si>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</si>
  <si>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</si>
  <si>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</si>
  <si>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</si>
  <si>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</si>
  <si>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</si>
  <si>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</si>
  <si>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</si>
  <si>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</si>
  <si>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</si>
  <si>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</si>
  <si>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</si>
  <si>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</si>
  <si>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</si>
  <si>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</si>
  <si>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</si>
  <si>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</si>
  <si>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</si>
  <si>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</si>
  <si>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</si>
  <si>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</si>
  <si>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</si>
  <si>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</si>
  <si>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</si>
  <si>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</si>
  <si>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</si>
  <si>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</si>
  <si>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</si>
  <si>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</si>
  <si>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</si>
  <si>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</si>
  <si>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</si>
  <si>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</si>
  <si>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</si>
  <si>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</si>
  <si>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</si>
  <si>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</si>
  <si>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</si>
  <si>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</si>
  <si>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</si>
  <si>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</si>
  <si>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</si>
  <si>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</si>
  <si>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</si>
  <si>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</si>
  <si>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</si>
  <si>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</si>
  <si>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</si>
  <si>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</si>
  <si>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</si>
  <si>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</si>
  <si>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</si>
  <si>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</si>
  <si>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</si>
  <si>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</si>
  <si>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</si>
  <si>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</si>
  <si>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</si>
  <si>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</si>
  <si>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</si>
  <si>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</si>
  <si>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</si>
  <si>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</si>
  <si>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</si>
  <si>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</si>
  <si>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</si>
  <si>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</si>
  <si>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</si>
  <si>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</si>
  <si>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</si>
  <si>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</si>
  <si>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</si>
  <si>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</si>
  <si>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</si>
  <si>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</si>
  <si>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</si>
  <si>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</si>
  <si>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</si>
  <si>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</si>
  <si>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</si>
  <si>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</si>
  <si>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</si>
  <si>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</si>
  <si>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</si>
  <si>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</si>
  <si>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</si>
  <si>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</si>
  <si>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</si>
  <si>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</si>
  <si>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</si>
  <si>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</si>
  <si>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</si>
  <si>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</si>
  <si>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</si>
  <si>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</si>
  <si>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</si>
  <si>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</si>
  <si>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</si>
  <si>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</si>
  <si>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</si>
  <si>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</si>
  <si>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</si>
  <si>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</si>
  <si>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</si>
  <si>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</si>
  <si>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</si>
  <si>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</si>
  <si>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</si>
  <si>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</si>
  <si>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</si>
  <si>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</si>
  <si>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</si>
  <si>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</si>
  <si>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</si>
  <si>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</si>
  <si>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</si>
  <si>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</si>
  <si>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</si>
  <si>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</si>
  <si>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</si>
  <si>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</si>
  <si>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</si>
  <si>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</si>
  <si>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</si>
  <si>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</si>
  <si>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</si>
  <si>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</si>
  <si>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</si>
  <si>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</si>
  <si>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</si>
  <si>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</si>
  <si>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</si>
  <si>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</si>
  <si>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</si>
  <si>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</si>
  <si>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</si>
  <si>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</si>
  <si>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</si>
  <si>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</si>
  <si>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</si>
  <si>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</si>
  <si>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</si>
  <si>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</si>
  <si>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</si>
  <si>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</si>
  <si>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</si>
  <si>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</si>
  <si>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</si>
  <si>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</si>
  <si>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</si>
  <si>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</si>
  <si>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</si>
  <si>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</si>
  <si>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</si>
  <si>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</si>
  <si>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</si>
  <si>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</si>
  <si>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</si>
  <si>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</si>
  <si>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</si>
  <si>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</si>
  <si>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</si>
  <si>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</si>
  <si>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</si>
  <si>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</si>
  <si>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</si>
  <si>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</si>
  <si>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</si>
  <si>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</si>
  <si>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</si>
  <si>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</si>
  <si>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</si>
  <si>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</si>
  <si>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</si>
  <si>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</si>
  <si>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</si>
  <si>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</si>
  <si>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</si>
  <si>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</si>
  <si>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</si>
  <si>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</si>
  <si>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</si>
  <si>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</si>
  <si>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</si>
  <si>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</si>
  <si>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</si>
  <si>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</si>
  <si>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</si>
  <si>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</si>
  <si>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</si>
  <si>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</si>
  <si>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</si>
  <si>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</si>
  <si>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</si>
  <si>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</si>
  <si>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</si>
  <si>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</si>
  <si>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</si>
  <si>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</si>
  <si>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</si>
  <si>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</si>
  <si>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</si>
  <si>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</si>
  <si>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</si>
  <si>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</si>
  <si>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</si>
  <si>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</si>
  <si>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</si>
  <si>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</si>
  <si>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</si>
  <si>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</si>
  <si>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</si>
  <si>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</si>
  <si>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</si>
  <si>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</si>
  <si>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</si>
  <si>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</si>
  <si>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</si>
  <si>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</si>
  <si>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</si>
  <si>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</si>
  <si>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</si>
  <si>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</si>
  <si>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</si>
  <si>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</si>
  <si>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</si>
  <si>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</si>
  <si>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</si>
  <si>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</si>
  <si>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</si>
  <si>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</si>
  <si>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</si>
  <si>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</si>
  <si>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</si>
  <si>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</si>
  <si>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</si>
  <si>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</si>
  <si>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</si>
  <si>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</si>
  <si>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</si>
  <si>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</si>
  <si>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</si>
  <si>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</si>
  <si>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</si>
  <si>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</si>
  <si>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</si>
  <si>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</si>
  <si>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</si>
  <si>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</si>
  <si>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</si>
  <si>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</si>
  <si>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</si>
  <si>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</si>
  <si>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</si>
  <si>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</si>
  <si>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</si>
  <si>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</si>
  <si>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</si>
  <si>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</si>
  <si>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</si>
  <si>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</si>
  <si>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</si>
  <si>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</si>
  <si>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</si>
  <si>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</si>
  <si>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</si>
  <si>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</si>
  <si>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</si>
  <si>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</si>
  <si>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</si>
  <si>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</si>
  <si>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</si>
  <si>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</si>
  <si>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</si>
  <si>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</si>
  <si>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</si>
  <si>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</si>
  <si>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</si>
  <si>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</si>
  <si>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</si>
  <si>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</si>
  <si>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</si>
  <si>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</si>
  <si>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</si>
  <si>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</si>
  <si>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</si>
  <si>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</si>
  <si>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</si>
  <si>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</si>
  <si>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</si>
  <si>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</si>
  <si>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</si>
  <si>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</si>
  <si>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</si>
  <si>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</si>
  <si>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</si>
  <si>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</si>
  <si>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</si>
  <si>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</si>
  <si>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</si>
  <si>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</si>
  <si>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</si>
  <si>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</si>
  <si>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</si>
  <si>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</si>
  <si>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</si>
  <si>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</si>
  <si>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</si>
  <si>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</si>
  <si>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</si>
  <si>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</si>
  <si>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</si>
  <si>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</si>
  <si>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</si>
  <si>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</si>
  <si>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</si>
  <si>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</si>
  <si>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</si>
  <si>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</si>
  <si>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</si>
  <si>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</si>
  <si>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</si>
  <si>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</si>
  <si>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</si>
  <si>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</si>
  <si>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</si>
  <si>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</si>
  <si>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</si>
  <si>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</si>
  <si>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</si>
  <si>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</si>
  <si>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</si>
  <si>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</si>
  <si>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</si>
  <si>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</si>
  <si>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</si>
  <si>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</si>
  <si>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</si>
  <si>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</si>
  <si>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</si>
  <si>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</si>
  <si>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</si>
  <si>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</si>
  <si>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</si>
  <si>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</si>
  <si>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</si>
  <si>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</si>
  <si>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</si>
  <si>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</si>
  <si>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</si>
  <si>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</si>
  <si>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</si>
  <si>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</si>
  <si>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</si>
  <si>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</si>
  <si>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</si>
  <si>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</si>
  <si>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</si>
  <si>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</si>
  <si>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</si>
  <si>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</si>
  <si>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</si>
  <si>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</si>
  <si>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</si>
  <si>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</si>
  <si>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</si>
  <si>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</si>
  <si>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</si>
  <si>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</si>
  <si>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</si>
  <si>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</si>
  <si>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</si>
  <si>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</si>
  <si>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</si>
  <si>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</si>
  <si>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</si>
  <si>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</si>
  <si>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</si>
  <si>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</si>
  <si>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</si>
  <si>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</si>
  <si>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</si>
  <si>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</si>
  <si>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</si>
  <si>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</si>
  <si>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</si>
  <si>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</si>
  <si>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</si>
  <si>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</si>
  <si>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</si>
  <si>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</si>
  <si>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</si>
  <si>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</si>
  <si>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</si>
  <si>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</si>
  <si>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</si>
  <si>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</si>
  <si>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</si>
  <si>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</si>
  <si>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</si>
  <si>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</si>
  <si>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</si>
  <si>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</si>
  <si>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</si>
  <si>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</si>
  <si>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</si>
  <si>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</si>
  <si>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</si>
  <si>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</si>
  <si>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</si>
  <si>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</si>
  <si>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</si>
  <si>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</si>
  <si>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</si>
  <si>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</si>
  <si>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</si>
  <si>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</si>
  <si>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</si>
  <si>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</si>
  <si>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</si>
  <si>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</si>
  <si>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</si>
  <si>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</si>
  <si>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</si>
  <si>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</si>
  <si>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</si>
  <si>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</si>
  <si>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</si>
  <si>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</si>
  <si>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</si>
  <si>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</si>
  <si>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</si>
  <si>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</si>
  <si>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</si>
  <si>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</si>
  <si>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</si>
  <si>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</si>
  <si>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</si>
  <si>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</si>
  <si>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</si>
  <si>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</si>
  <si>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</si>
  <si>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</si>
  <si>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</si>
  <si>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</si>
  <si>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</si>
  <si>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</si>
  <si>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</si>
  <si>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</si>
  <si>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</si>
  <si>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</si>
  <si>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</si>
  <si>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</si>
  <si>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</si>
  <si>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</si>
  <si>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</si>
  <si>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</si>
  <si>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</si>
  <si>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</si>
  <si>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</si>
  <si>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</si>
  <si>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</si>
  <si>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</si>
  <si>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</si>
  <si>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</si>
  <si>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</si>
  <si>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</si>
  <si>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</si>
  <si>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</si>
  <si>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</si>
  <si>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</si>
  <si>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</si>
  <si>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</si>
  <si>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</si>
  <si>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</si>
  <si>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</si>
  <si>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</si>
  <si>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</si>
  <si>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</si>
  <si>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</si>
  <si>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</si>
  <si>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</si>
  <si>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</si>
  <si>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</si>
  <si>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</si>
  <si>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</si>
  <si>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</si>
  <si>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</si>
  <si>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</si>
  <si>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</si>
  <si>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</si>
  <si>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</si>
  <si>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</si>
  <si>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</si>
  <si>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</si>
  <si>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</si>
  <si>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</si>
  <si>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</si>
  <si>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</si>
  <si>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</si>
  <si>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</si>
  <si>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</si>
  <si>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</si>
  <si>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</si>
  <si>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</si>
  <si>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</si>
  <si>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</si>
  <si>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</si>
  <si>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</si>
  <si>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</si>
  <si>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</si>
  <si>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</si>
  <si>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</si>
  <si>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</si>
  <si>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</si>
  <si>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</si>
  <si>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</si>
  <si>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</si>
  <si>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</si>
  <si>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</si>
  <si>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</si>
  <si>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</si>
  <si>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</si>
  <si>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</si>
  <si>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</si>
  <si>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</si>
  <si>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</si>
  <si>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</si>
  <si>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</si>
  <si>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</si>
  <si>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</si>
  <si>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</si>
  <si>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</si>
  <si>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</si>
  <si>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</si>
  <si>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</si>
  <si>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</si>
  <si>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</si>
  <si>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</si>
  <si>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</si>
  <si>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</si>
  <si>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</si>
  <si>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</si>
  <si>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</si>
  <si>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</si>
  <si>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</si>
  <si>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</si>
  <si>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</si>
  <si>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</si>
  <si>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</si>
  <si>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</si>
  <si>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</si>
  <si>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</si>
  <si>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</si>
  <si>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</si>
  <si>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</si>
  <si>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</si>
  <si>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</si>
  <si>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</si>
  <si>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</si>
  <si>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</si>
  <si>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</si>
  <si>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</si>
  <si>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</si>
  <si>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</si>
  <si>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</si>
  <si>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</si>
  <si>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</si>
  <si>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</si>
  <si>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</si>
  <si>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</si>
  <si>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</si>
  <si>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</si>
  <si>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</si>
  <si>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</si>
  <si>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</si>
  <si>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</si>
  <si>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</si>
  <si>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</si>
  <si>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</si>
  <si>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</si>
  <si>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</si>
  <si>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</si>
  <si>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</si>
  <si>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</si>
  <si>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</si>
  <si>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</si>
  <si>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</si>
  <si>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</si>
  <si>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</si>
  <si>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</si>
  <si>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</si>
  <si>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</si>
  <si>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</si>
  <si>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</si>
  <si>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</si>
  <si>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</si>
  <si>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</si>
  <si>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</si>
  <si>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</si>
  <si>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</si>
  <si>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</si>
  <si>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</si>
  <si>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</si>
  <si>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</si>
  <si>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</si>
  <si>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</si>
  <si>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</si>
  <si>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</si>
  <si>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</si>
  <si>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</si>
  <si>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</si>
  <si>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</si>
  <si>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</si>
  <si>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</si>
  <si>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</si>
  <si>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</si>
  <si>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</si>
  <si>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</si>
  <si>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</si>
  <si>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</si>
  <si>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</si>
  <si>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</si>
  <si>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</si>
  <si>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</si>
  <si>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</si>
  <si>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</si>
  <si>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</si>
  <si>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</si>
  <si>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</si>
  <si>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</si>
  <si>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</si>
  <si>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</si>
  <si>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</si>
  <si>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</si>
  <si>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</si>
  <si>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</si>
  <si>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</si>
  <si>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</si>
  <si>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</si>
  <si>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</si>
  <si>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</si>
  <si>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</si>
  <si>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</si>
  <si>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</si>
  <si>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</si>
  <si>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</si>
  <si>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</si>
  <si>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</si>
  <si>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</si>
  <si>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</si>
  <si>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</si>
  <si>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</si>
  <si>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</si>
  <si>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</si>
  <si>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</si>
  <si>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</si>
  <si>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</si>
  <si>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</si>
  <si>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</si>
  <si>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</si>
  <si>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</si>
  <si>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</si>
  <si>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</si>
  <si>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</si>
  <si>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</si>
  <si>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</si>
  <si>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</si>
  <si>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</si>
  <si>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</si>
  <si>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</si>
  <si>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</si>
  <si>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</si>
  <si>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</si>
  <si>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</si>
  <si>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</si>
  <si>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</si>
  <si>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</si>
  <si>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</si>
  <si>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</si>
  <si>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</si>
  <si>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</si>
  <si>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</si>
  <si>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</si>
  <si>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</si>
  <si>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</si>
  <si>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</si>
  <si>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</si>
  <si>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</si>
  <si>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</si>
  <si>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</si>
  <si>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</si>
  <si>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</si>
  <si>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</si>
  <si>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</si>
  <si>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</si>
  <si>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</si>
  <si>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</si>
  <si>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</si>
  <si>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</si>
  <si>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</si>
  <si>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</si>
  <si>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</si>
  <si>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</si>
  <si>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</si>
  <si>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</si>
  <si>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</si>
  <si>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</si>
  <si>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</si>
  <si>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</si>
  <si>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</si>
  <si>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</si>
  <si>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</si>
  <si>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</si>
  <si>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</si>
  <si>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</si>
  <si>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</si>
  <si>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</si>
  <si>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</si>
  <si>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</si>
  <si>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</si>
  <si>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</si>
  <si>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</si>
  <si>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</si>
  <si>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</si>
  <si>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</si>
  <si>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</si>
  <si>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</si>
  <si>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</si>
  <si>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</si>
  <si>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</si>
  <si>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</si>
  <si>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</si>
  <si>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</si>
  <si>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</si>
  <si>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</si>
  <si>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</si>
  <si>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</si>
  <si>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</si>
  <si>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</si>
  <si>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</si>
  <si>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</si>
  <si>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</si>
  <si>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</si>
  <si>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</si>
  <si>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</si>
  <si>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</si>
  <si>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</si>
  <si>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</si>
  <si>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</si>
  <si>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</si>
  <si>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</si>
  <si>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</si>
  <si>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</si>
  <si>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</si>
  <si>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</si>
  <si>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</si>
  <si>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</si>
  <si>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</si>
  <si>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</si>
  <si>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</si>
  <si>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</si>
  <si>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</si>
  <si>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</si>
  <si>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</si>
  <si>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</si>
  <si>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</si>
  <si>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</si>
  <si>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</si>
  <si>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</si>
  <si>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</si>
  <si>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</si>
  <si>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</si>
  <si>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</si>
  <si>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</si>
  <si>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</si>
  <si>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</si>
  <si>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</si>
  <si>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</si>
  <si>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</si>
  <si>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</si>
  <si>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</si>
  <si>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</si>
  <si>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</si>
  <si>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</si>
  <si>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</si>
  <si>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</si>
  <si>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</si>
  <si>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</si>
  <si>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</si>
  <si>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</si>
  <si>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</si>
  <si>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</si>
  <si>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</si>
  <si>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</si>
  <si>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</si>
  <si>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</si>
  <si>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</si>
  <si>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</si>
  <si>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</si>
  <si>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</si>
  <si>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</si>
  <si>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</si>
  <si>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</si>
  <si>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</si>
  <si>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</si>
  <si>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</si>
  <si>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</si>
  <si>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</si>
  <si>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</si>
  <si>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</si>
  <si>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</si>
  <si>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</si>
  <si>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</si>
  <si>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</si>
  <si>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</si>
  <si>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</si>
  <si>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</si>
  <si>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</si>
  <si>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</si>
  <si>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</si>
  <si>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</si>
  <si>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</si>
  <si>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</si>
  <si>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</si>
  <si>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</si>
  <si>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</si>
  <si>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</si>
  <si>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</si>
  <si>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</si>
  <si>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</si>
  <si>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</si>
  <si>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</si>
  <si>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</si>
  <si>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</si>
  <si>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</si>
  <si>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</si>
  <si>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</si>
  <si>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</si>
  <si>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</si>
  <si>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</si>
  <si>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</si>
  <si>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</si>
  <si>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</si>
  <si>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</si>
  <si>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</si>
  <si>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</si>
  <si>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</si>
  <si>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</si>
  <si>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</si>
  <si>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</si>
  <si>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</si>
  <si>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</si>
  <si>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</si>
  <si>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</si>
  <si>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</si>
  <si>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</si>
  <si>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</si>
  <si>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</si>
  <si>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</si>
  <si>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</si>
  <si>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</si>
  <si>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</si>
  <si>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</si>
  <si>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</si>
  <si>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</si>
  <si>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</si>
  <si>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</si>
  <si>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</si>
  <si>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</si>
  <si>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</si>
  <si>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</si>
  <si>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</si>
  <si>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</si>
  <si>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</si>
  <si>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</si>
  <si>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</si>
  <si>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</si>
  <si>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</si>
  <si>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</si>
  <si>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</si>
  <si>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</si>
  <si>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</si>
  <si>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</si>
  <si>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</si>
  <si>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</si>
  <si>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</si>
  <si>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</si>
  <si>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</si>
  <si>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</si>
  <si>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</si>
  <si>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</si>
  <si>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</si>
  <si>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</si>
  <si>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</si>
  <si>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</si>
  <si>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</si>
  <si>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</si>
  <si>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</si>
  <si>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</si>
  <si>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</si>
  <si>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</si>
  <si>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</si>
  <si>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</si>
  <si>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</si>
  <si>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</si>
  <si>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</si>
  <si>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</si>
  <si>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</si>
  <si>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</si>
  <si>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</si>
  <si>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</si>
  <si>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</si>
  <si>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</si>
  <si>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</si>
  <si>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</si>
  <si>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</si>
  <si>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</si>
  <si>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</si>
  <si>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</si>
  <si>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</si>
  <si>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</si>
  <si>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</si>
  <si>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</si>
  <si>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</si>
  <si>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</si>
  <si>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</si>
  <si>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</si>
  <si>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</si>
  <si>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</si>
  <si>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</si>
  <si>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</si>
  <si>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</si>
  <si>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</si>
  <si>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</si>
  <si>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</si>
  <si>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</si>
  <si>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</si>
  <si>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</si>
  <si>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</si>
  <si>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</si>
  <si>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</si>
  <si>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</si>
  <si>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</si>
  <si>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</si>
  <si>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</si>
  <si>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</si>
  <si>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</si>
  <si>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</si>
  <si>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</si>
  <si>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</si>
  <si>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</si>
  <si>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</si>
  <si>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</si>
  <si>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</si>
  <si>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</si>
  <si>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</si>
  <si>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</si>
  <si>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</si>
  <si>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</si>
  <si>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</si>
  <si>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</si>
  <si>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</si>
  <si>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</si>
  <si>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</si>
  <si>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</si>
  <si>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</si>
  <si>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</si>
  <si>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</si>
  <si>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</si>
  <si>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</si>
  <si>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</si>
  <si>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</si>
  <si>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</si>
  <si>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</si>
  <si>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</si>
  <si>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</si>
  <si>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</si>
  <si>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</si>
  <si>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</si>
  <si>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</si>
  <si>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</si>
  <si>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</si>
  <si>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</si>
  <si>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</si>
  <si>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</si>
  <si>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</si>
  <si>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</si>
  <si>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</si>
  <si>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</si>
  <si>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</si>
  <si>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</si>
  <si>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</si>
  <si>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</si>
  <si>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</si>
  <si>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</si>
  <si>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</si>
  <si>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</si>
  <si>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</si>
  <si>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</si>
  <si>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</si>
  <si>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</si>
  <si>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</si>
  <si>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</si>
  <si>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</si>
  <si>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</si>
  <si>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</si>
  <si>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</si>
  <si>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</si>
  <si>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</si>
  <si>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</si>
  <si>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</si>
  <si>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</si>
  <si>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</si>
  <si>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</si>
  <si>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</si>
  <si>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</si>
  <si>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</si>
  <si>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</si>
  <si>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</si>
  <si>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</si>
  <si>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</si>
  <si>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</si>
  <si>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</si>
  <si>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</si>
  <si>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</si>
  <si>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</si>
  <si>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</si>
  <si>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</si>
  <si>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</si>
  <si>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</si>
  <si>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</si>
  <si>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</si>
  <si>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</si>
  <si>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</si>
  <si>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</si>
  <si>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</si>
  <si>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</si>
  <si>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</si>
  <si>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</si>
  <si>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</si>
  <si>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</si>
  <si>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</si>
  <si>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</si>
  <si>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</si>
  <si>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</si>
  <si>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</si>
  <si>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</si>
  <si>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</si>
  <si>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</si>
  <si>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</si>
  <si>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</si>
  <si>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</si>
  <si>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</si>
  <si>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</si>
  <si>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</si>
  <si>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</si>
  <si>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</si>
  <si>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</si>
  <si>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</si>
  <si>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</si>
  <si>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</si>
  <si>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</si>
  <si>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</si>
  <si>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</si>
  <si>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</si>
  <si>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</si>
  <si>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</si>
  <si>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</si>
  <si>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</si>
  <si>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</si>
  <si>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</si>
  <si>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</si>
  <si>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</si>
  <si>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</si>
  <si>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</si>
  <si>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</si>
  <si>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</si>
  <si>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</si>
  <si>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</si>
  <si>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</si>
  <si>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</si>
  <si>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</si>
  <si>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</si>
  <si>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</si>
  <si>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</si>
  <si>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</si>
  <si>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</si>
  <si>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</si>
  <si>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</si>
  <si>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</si>
  <si>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</si>
  <si>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</si>
  <si>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</si>
  <si>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</si>
  <si>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</si>
  <si>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</si>
  <si>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</si>
  <si>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</si>
  <si>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</si>
  <si>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</si>
  <si>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</si>
  <si>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</si>
  <si>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</si>
  <si>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</si>
  <si>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</si>
  <si>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</si>
  <si>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</si>
  <si>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</si>
  <si>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</si>
  <si>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</si>
  <si>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</si>
  <si>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</si>
  <si>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</si>
  <si>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</si>
  <si>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</si>
  <si>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</si>
  <si>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</si>
  <si>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</si>
  <si>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</si>
  <si>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</si>
  <si>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</si>
  <si>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</si>
  <si>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</si>
  <si>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</si>
  <si>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</si>
  <si>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</si>
  <si>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</si>
  <si>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</si>
  <si>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</si>
  <si>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</si>
  <si>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</si>
  <si>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</si>
  <si>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</si>
  <si>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</si>
  <si>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</si>
  <si>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</si>
  <si>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</si>
  <si>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</si>
  <si>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</si>
  <si>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</si>
  <si>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</si>
  <si>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</si>
  <si>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</si>
  <si>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</si>
  <si>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</si>
  <si>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</si>
  <si>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</si>
  <si>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</si>
  <si>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</si>
  <si>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</si>
  <si>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</si>
  <si>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</si>
  <si>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</si>
  <si>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</si>
  <si>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</si>
  <si>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</si>
  <si>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</si>
  <si>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</si>
  <si>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</si>
  <si>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</si>
  <si>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</si>
  <si>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</si>
  <si>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</si>
  <si>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</si>
  <si>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</si>
  <si>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</si>
  <si>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</si>
  <si>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</si>
  <si>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</si>
  <si>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</si>
  <si>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</si>
  <si>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</si>
  <si>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</si>
  <si>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</si>
  <si>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</si>
  <si>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</si>
  <si>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</si>
  <si>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</si>
  <si>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</si>
  <si>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</si>
  <si>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</si>
  <si>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</si>
  <si>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</si>
  <si>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</si>
  <si>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</si>
  <si>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</si>
  <si>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</si>
  <si>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</si>
  <si>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</si>
  <si>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</si>
  <si>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</si>
  <si>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</si>
  <si>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</si>
  <si>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</si>
  <si>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</si>
  <si>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</si>
  <si>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</si>
  <si>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</si>
  <si>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</si>
  <si>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</si>
  <si>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</si>
  <si>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</si>
  <si>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</si>
  <si>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</si>
  <si>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</si>
  <si>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</si>
  <si>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</si>
  <si>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</si>
  <si>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</si>
  <si>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</si>
  <si>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</si>
  <si>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</si>
  <si>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</si>
  <si>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</si>
  <si>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</si>
  <si>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</si>
  <si>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</si>
  <si>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</si>
  <si>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</si>
  <si>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</si>
  <si>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</si>
  <si>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</si>
  <si>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</si>
  <si>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</si>
  <si>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</si>
  <si>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</si>
  <si>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</si>
  <si>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</si>
  <si>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</si>
  <si>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</si>
  <si>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</si>
  <si>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</si>
  <si>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</si>
  <si>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</si>
  <si>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</si>
  <si>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</si>
  <si>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</si>
  <si>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</si>
  <si>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</si>
  <si>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</si>
  <si>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</si>
  <si>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</si>
  <si>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</si>
  <si>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</si>
  <si>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</si>
  <si>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</si>
  <si>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</si>
  <si>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</si>
  <si>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</si>
  <si>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</si>
  <si>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</si>
  <si>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</si>
  <si>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</si>
  <si>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</si>
  <si>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</si>
  <si>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</si>
  <si>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</si>
  <si>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</si>
  <si>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</si>
  <si>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</si>
  <si>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</si>
  <si>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</si>
  <si>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</si>
  <si>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</si>
  <si>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</si>
  <si>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</si>
  <si>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</si>
  <si>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</si>
  <si>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</si>
  <si>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</si>
  <si>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</si>
  <si>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</si>
  <si>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</si>
  <si>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</si>
  <si>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</si>
  <si>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</si>
  <si>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</si>
  <si>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</si>
  <si>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</si>
  <si>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</si>
  <si>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</si>
  <si>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</si>
  <si>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</si>
  <si>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</si>
  <si>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</si>
  <si>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</si>
  <si>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</si>
  <si>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</si>
  <si>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</si>
  <si>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</si>
  <si>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</si>
  <si>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</si>
  <si>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</si>
  <si>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</si>
  <si>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</si>
  <si>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</si>
  <si>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</si>
  <si>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</si>
  <si>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</si>
  <si>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</si>
  <si>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</si>
  <si>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</si>
  <si>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</si>
  <si>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</si>
  <si>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</si>
  <si>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</si>
  <si>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</si>
  <si>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</si>
  <si>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</si>
  <si>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</si>
  <si>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</si>
  <si>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</si>
  <si>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</si>
  <si>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</si>
  <si>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</si>
  <si>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</si>
  <si>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</si>
  <si>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</si>
  <si>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</si>
  <si>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</si>
  <si>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</si>
  <si>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</si>
  <si>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</si>
  <si>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</si>
  <si>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</si>
  <si>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</si>
  <si>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</si>
  <si>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</si>
  <si>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</si>
  <si>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</si>
  <si>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</si>
  <si>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</si>
  <si>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</si>
  <si>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</si>
  <si>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</si>
  <si>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</si>
  <si>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</si>
  <si>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</si>
  <si>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</si>
  <si>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</si>
  <si>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</si>
  <si>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</si>
  <si>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</si>
  <si>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</si>
  <si>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</si>
  <si>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</si>
  <si>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</si>
  <si>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</si>
  <si>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</si>
  <si>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</si>
  <si>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</si>
  <si>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</si>
  <si>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</si>
  <si>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</si>
  <si>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</si>
  <si>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</si>
  <si>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</si>
  <si>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</si>
  <si>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</si>
  <si>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</si>
  <si>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</si>
  <si>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</si>
  <si>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</si>
  <si>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</si>
  <si>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</si>
  <si>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</si>
  <si>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</si>
  <si>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</si>
  <si>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</si>
  <si>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</si>
  <si>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</si>
  <si>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</si>
  <si>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</si>
  <si>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</si>
  <si>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</si>
  <si>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</si>
  <si>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</si>
  <si>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</si>
  <si>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</si>
  <si>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</si>
  <si>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</si>
  <si>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</si>
  <si>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</si>
  <si>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</si>
  <si>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</si>
  <si>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</si>
  <si>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</si>
  <si>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</si>
  <si>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</si>
  <si>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</si>
  <si>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</si>
  <si>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</si>
  <si>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</si>
  <si>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</si>
  <si>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</si>
  <si>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</si>
  <si>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</si>
  <si>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</si>
  <si>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</si>
  <si>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</si>
  <si>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</si>
  <si>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</si>
  <si>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</si>
  <si>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</si>
  <si>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</si>
  <si>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</si>
  <si>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</si>
  <si>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</si>
  <si>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</si>
  <si>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</si>
  <si>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</si>
  <si>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</si>
  <si>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</si>
  <si>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</si>
  <si>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</si>
  <si>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</si>
  <si>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</si>
  <si>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</si>
  <si>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</si>
  <si>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</si>
  <si>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</si>
  <si>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</si>
  <si>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</si>
  <si>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</si>
  <si>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</si>
  <si>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</si>
  <si>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</si>
  <si>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</si>
  <si>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</si>
  <si>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</si>
  <si>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</si>
  <si>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</si>
  <si>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</si>
  <si>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</si>
  <si>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</si>
  <si>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</si>
  <si>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</si>
  <si>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</si>
  <si>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</si>
  <si>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</si>
  <si>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</si>
  <si>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</si>
  <si>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</si>
  <si>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</si>
  <si>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</si>
  <si>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</si>
  <si>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</si>
  <si>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</si>
  <si>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</si>
  <si>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</si>
  <si>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</si>
  <si>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</si>
  <si>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</si>
  <si>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</si>
  <si>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</si>
  <si>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</si>
  <si>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</si>
  <si>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</si>
  <si>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</si>
  <si>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</si>
  <si>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</si>
  <si>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</si>
  <si>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</si>
  <si>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</si>
  <si>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</si>
  <si>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</si>
  <si>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</si>
  <si>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</si>
  <si>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</si>
  <si>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</si>
  <si>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</si>
  <si>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</si>
  <si>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</si>
  <si>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</si>
  <si>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</si>
  <si>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</si>
  <si>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</si>
  <si>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</si>
  <si>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</si>
  <si>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</si>
  <si>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</si>
  <si>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</si>
  <si>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</si>
  <si>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</si>
  <si>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</si>
  <si>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</si>
  <si>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</si>
  <si>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</si>
  <si>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</si>
  <si>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</si>
  <si>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</si>
  <si>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</si>
  <si>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</si>
  <si>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</si>
  <si>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</si>
  <si>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</si>
  <si>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</si>
  <si>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</si>
  <si>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</si>
  <si>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</si>
  <si>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</si>
  <si>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</si>
  <si>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</si>
  <si>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</si>
  <si>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</si>
  <si>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</si>
  <si>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</si>
  <si>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</si>
  <si>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</si>
  <si>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</si>
  <si>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</si>
  <si>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</si>
  <si>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</si>
  <si>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</si>
  <si>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</si>
  <si>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</si>
  <si>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</si>
  <si>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</si>
  <si>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</si>
  <si>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</si>
  <si>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</si>
  <si>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</si>
  <si>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</si>
  <si>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</si>
  <si>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</si>
  <si>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</si>
  <si>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</si>
  <si>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</si>
  <si>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</si>
  <si>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</si>
  <si>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</si>
  <si>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</si>
  <si>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</si>
  <si>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</si>
  <si>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</si>
  <si>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</si>
  <si>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</si>
  <si>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</si>
  <si>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</si>
  <si>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</si>
  <si>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</si>
  <si>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</si>
  <si>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</si>
  <si>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</si>
  <si>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</si>
  <si>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</si>
  <si>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</si>
  <si>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</si>
  <si>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</si>
  <si>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</si>
  <si>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</si>
  <si>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</si>
  <si>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</si>
  <si>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</si>
  <si>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</si>
  <si>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</si>
  <si>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</si>
  <si>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</si>
  <si>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</si>
  <si>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</si>
  <si>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</si>
  <si>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</si>
  <si>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</si>
  <si>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</si>
  <si>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</si>
  <si>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</si>
  <si>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</si>
  <si>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</si>
  <si>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</si>
  <si>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</si>
  <si>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</si>
  <si>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</si>
  <si>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</si>
  <si>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</si>
  <si>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</si>
  <si>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</si>
  <si>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</si>
  <si>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</si>
  <si>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</si>
  <si>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</si>
  <si>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</si>
  <si>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</si>
  <si>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</si>
  <si>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</si>
  <si>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</si>
  <si>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</si>
  <si>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</si>
  <si>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</si>
  <si>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</si>
  <si>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</si>
  <si>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</si>
  <si>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</si>
  <si>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</si>
  <si>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</si>
  <si>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</si>
  <si>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</si>
  <si>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</si>
  <si>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</si>
  <si>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</si>
  <si>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</si>
  <si>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</si>
  <si>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</si>
  <si>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</si>
  <si>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</si>
  <si>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</si>
  <si>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</si>
  <si>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</si>
  <si>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</si>
  <si>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</si>
  <si>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</si>
  <si>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</si>
  <si>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</si>
  <si>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</si>
  <si>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</si>
  <si>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</si>
  <si>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</si>
  <si>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</si>
  <si>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</si>
  <si>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</si>
  <si>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</si>
  <si>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</si>
  <si>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</si>
  <si>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</si>
  <si>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</si>
  <si>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</si>
  <si>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</si>
  <si>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</si>
  <si>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</si>
  <si>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</si>
  <si>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</si>
  <si>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</si>
  <si>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</si>
  <si>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</si>
  <si>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</si>
  <si>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</si>
  <si>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</si>
  <si>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</si>
  <si>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</si>
  <si>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</si>
  <si>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</si>
  <si>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</si>
  <si>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</si>
  <si>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</si>
  <si>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</si>
  <si>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</si>
  <si>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</si>
  <si>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</si>
  <si>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</si>
  <si>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</si>
  <si>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</si>
  <si>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</si>
  <si>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</si>
  <si>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</si>
  <si>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</si>
  <si>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</si>
  <si>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</si>
  <si>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</si>
  <si>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</si>
  <si>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</si>
  <si>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</si>
  <si>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</si>
  <si>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</si>
  <si>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</si>
  <si>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</si>
  <si>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</si>
  <si>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</si>
  <si>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</si>
  <si>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</si>
  <si>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</si>
  <si>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</si>
  <si>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</si>
  <si>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</si>
  <si>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</si>
  <si>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</si>
  <si>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</si>
  <si>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</si>
  <si>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</si>
  <si>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</si>
  <si>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</si>
  <si>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</si>
  <si>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</si>
  <si>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</si>
  <si>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</si>
  <si>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</si>
  <si>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</si>
  <si>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</si>
  <si>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</si>
  <si>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</si>
  <si>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</si>
  <si>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</si>
  <si>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</si>
  <si>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</si>
  <si>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</si>
  <si>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</si>
  <si>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</si>
  <si>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</si>
  <si>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</si>
  <si>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</si>
  <si>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</si>
  <si>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</si>
  <si>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</si>
  <si>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</si>
  <si>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</si>
  <si>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</si>
  <si>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</si>
  <si>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</si>
  <si>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</si>
  <si>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</si>
  <si>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</si>
  <si>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</si>
  <si>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</si>
  <si>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</si>
  <si>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</si>
  <si>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</si>
  <si>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</si>
  <si>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</si>
  <si>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</si>
  <si>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</si>
  <si>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</si>
  <si>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</si>
  <si>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</si>
  <si>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</si>
  <si>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</si>
  <si>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</si>
  <si>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</si>
  <si>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</si>
  <si>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</si>
  <si>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</si>
  <si>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</si>
  <si>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</si>
  <si>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</si>
  <si>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</si>
  <si>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</si>
  <si>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</si>
  <si>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</si>
  <si>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</si>
  <si>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</si>
  <si>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</si>
  <si>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</si>
  <si>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</si>
  <si>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</si>
  <si>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</si>
  <si>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</si>
  <si>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</si>
  <si>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</si>
  <si>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</si>
  <si>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</si>
  <si>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</si>
  <si>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</si>
  <si>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</si>
  <si>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</si>
  <si>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</si>
  <si>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</si>
  <si>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</si>
  <si>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</si>
  <si>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</si>
  <si>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</si>
  <si>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</si>
  <si>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</si>
  <si>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</si>
  <si>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</si>
  <si>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</si>
  <si>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</si>
  <si>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</si>
  <si>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</si>
  <si>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</si>
  <si>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</si>
  <si>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</si>
  <si>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</si>
  <si>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</si>
  <si>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</si>
  <si>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</si>
  <si>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</si>
  <si>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</si>
  <si>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</si>
  <si>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</si>
  <si>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</si>
  <si>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</si>
  <si>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</si>
  <si>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</si>
  <si>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</si>
  <si>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</si>
  <si>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</si>
  <si>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</si>
  <si>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</si>
  <si>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</si>
  <si>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</si>
  <si>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</si>
  <si>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</si>
  <si>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</si>
  <si>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</si>
  <si>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</si>
  <si>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</si>
  <si>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</si>
  <si>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</si>
  <si>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</si>
  <si>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</si>
  <si>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</si>
  <si>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</si>
  <si>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</si>
  <si>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</si>
  <si>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</si>
  <si>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</si>
  <si>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</si>
  <si>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</si>
  <si>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</si>
  <si>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</si>
  <si>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</si>
  <si>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</si>
  <si>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</si>
  <si>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</si>
  <si>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</si>
  <si>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</si>
  <si>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</si>
  <si>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</si>
  <si>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</si>
  <si>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</si>
  <si>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</si>
  <si>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</si>
  <si>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</si>
  <si>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</si>
  <si>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</si>
  <si>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</si>
  <si>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</si>
  <si>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</si>
  <si>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</si>
  <si>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</si>
  <si>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</si>
  <si>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</si>
  <si>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</si>
  <si>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</si>
  <si>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</si>
  <si>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</si>
  <si>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</si>
  <si>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</si>
  <si>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</si>
  <si>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</si>
  <si>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</si>
  <si>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</si>
  <si>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</si>
  <si>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</si>
  <si>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</si>
  <si>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</si>
  <si>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</si>
  <si>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</si>
  <si>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</si>
  <si>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</si>
  <si>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</si>
  <si>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</si>
  <si>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</si>
  <si>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</si>
  <si>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</si>
  <si>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</si>
  <si>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</si>
  <si>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</si>
  <si>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</si>
  <si>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</si>
  <si>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</si>
  <si>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</si>
  <si>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</si>
  <si>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</si>
  <si>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</si>
  <si>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</si>
  <si>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</si>
  <si>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</si>
  <si>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</si>
  <si>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</si>
  <si>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</si>
  <si>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</si>
  <si>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</si>
  <si>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</si>
  <si>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</si>
  <si>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</si>
  <si>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</si>
  <si>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</si>
  <si>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</si>
  <si>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</si>
  <si>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</si>
  <si>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</si>
  <si>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</si>
  <si>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</si>
  <si>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</si>
  <si>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</si>
  <si>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</si>
  <si>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</si>
  <si>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</si>
  <si>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</si>
  <si>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</si>
  <si>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</si>
  <si>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</si>
  <si>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</si>
  <si>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</si>
  <si>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</si>
  <si>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</si>
  <si>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</si>
  <si>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</si>
  <si>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</si>
  <si>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</si>
  <si>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</si>
  <si>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</si>
  <si>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</si>
  <si>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</si>
  <si>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</si>
  <si>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</si>
  <si>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</si>
  <si>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</si>
  <si>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</si>
  <si>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</si>
  <si>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</si>
  <si>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</si>
  <si>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</si>
  <si>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</si>
  <si>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</si>
  <si>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</si>
  <si>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</si>
  <si>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</si>
  <si>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</si>
  <si>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</si>
  <si>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</si>
  <si>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</si>
  <si>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</si>
  <si>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</si>
  <si>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</si>
  <si>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</si>
  <si>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</si>
  <si>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</si>
  <si>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</si>
  <si>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</si>
  <si>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</si>
  <si>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</si>
  <si>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</si>
  <si>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</si>
  <si>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</si>
  <si>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</si>
  <si>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</si>
  <si>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</si>
  <si>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</si>
  <si>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</si>
  <si>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</si>
  <si>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</si>
  <si>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</si>
  <si>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</si>
  <si>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</si>
  <si>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</si>
  <si>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</si>
  <si>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</si>
  <si>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</si>
  <si>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</si>
  <si>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</si>
  <si>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</si>
  <si>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</si>
  <si>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</si>
  <si>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</si>
  <si>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</si>
  <si>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</si>
  <si>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</si>
  <si>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</si>
  <si>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</si>
  <si>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</si>
  <si>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</si>
  <si>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</si>
  <si>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</si>
  <si>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</si>
  <si>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</si>
  <si>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</si>
  <si>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</si>
  <si>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</si>
  <si>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</si>
  <si>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</si>
  <si>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</si>
  <si>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</si>
  <si>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</si>
  <si>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</si>
  <si>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</si>
  <si>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</si>
  <si>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</si>
  <si>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</si>
  <si>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</si>
  <si>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</si>
  <si>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</si>
  <si>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</si>
  <si>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</si>
  <si>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</si>
  <si>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</si>
  <si>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</si>
  <si>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</si>
  <si>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</si>
  <si>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</si>
  <si>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</si>
  <si>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</si>
  <si>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</si>
  <si>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</si>
  <si>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</si>
  <si>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</si>
  <si>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</si>
  <si>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</si>
  <si>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</si>
  <si>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</si>
  <si>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</si>
  <si>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</si>
  <si>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</si>
  <si>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</si>
  <si>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</si>
  <si>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</si>
  <si>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</si>
  <si>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</si>
  <si>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</si>
  <si>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</si>
  <si>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</si>
  <si>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</si>
  <si>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</si>
  <si>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</si>
  <si>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</si>
  <si>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</si>
  <si>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</si>
  <si>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</si>
  <si>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</si>
  <si>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</si>
  <si>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</si>
  <si>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</si>
  <si>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</si>
  <si>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</si>
  <si>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</si>
  <si>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</si>
  <si>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</si>
  <si>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</si>
  <si>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</si>
  <si>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</si>
  <si>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</si>
  <si>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</si>
  <si>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</si>
  <si>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</si>
  <si>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</si>
  <si>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</si>
  <si>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</si>
  <si>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</si>
  <si>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</si>
  <si>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</si>
  <si>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</si>
  <si>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</si>
  <si>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</si>
  <si>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</si>
  <si>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</si>
  <si>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</si>
  <si>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</si>
  <si>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</si>
  <si>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</si>
  <si>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</si>
  <si>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</si>
  <si>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</si>
  <si>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</si>
  <si>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</si>
  <si>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</si>
  <si>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</si>
  <si>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</si>
  <si>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</si>
  <si>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</si>
  <si>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</si>
  <si>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</si>
  <si>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</si>
  <si>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</si>
  <si>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</si>
  <si>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</si>
  <si>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</si>
  <si>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</si>
  <si>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</si>
  <si>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</si>
  <si>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</si>
  <si>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</si>
  <si>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</si>
  <si>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</si>
  <si>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</si>
  <si>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</si>
  <si>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</si>
  <si>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</si>
  <si>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</si>
  <si>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</si>
  <si>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</si>
  <si>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</si>
  <si>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</si>
  <si>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</si>
  <si>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</si>
  <si>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</si>
  <si>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</si>
  <si>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</si>
  <si>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</si>
  <si>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</si>
  <si>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</si>
  <si>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</si>
  <si>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</si>
  <si>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</si>
  <si>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</si>
  <si>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</si>
  <si>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</si>
  <si>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</si>
  <si>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</si>
  <si>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</si>
  <si>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</si>
  <si>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</si>
  <si>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</si>
  <si>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</si>
  <si>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</si>
  <si>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</si>
  <si>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</si>
  <si>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</si>
  <si>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</si>
  <si>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</si>
  <si>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</si>
  <si>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</si>
  <si>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</si>
  <si>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</si>
  <si>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</si>
  <si>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</si>
  <si>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</si>
  <si>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</si>
  <si>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</si>
  <si>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</si>
  <si>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</si>
  <si>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</si>
  <si>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</si>
  <si>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</si>
  <si>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</si>
  <si>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</si>
  <si>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</si>
  <si>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</si>
  <si>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</si>
  <si>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</si>
  <si>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</si>
  <si>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</si>
  <si>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</si>
  <si>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</si>
  <si>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</si>
  <si>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</si>
  <si>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</si>
  <si>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</si>
  <si>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</si>
  <si>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</si>
  <si>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</si>
  <si>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</si>
  <si>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</si>
  <si>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</si>
  <si>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</si>
  <si>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</si>
  <si>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</si>
  <si>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</si>
  <si>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</si>
  <si>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</si>
  <si>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</si>
  <si>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</si>
  <si>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</si>
  <si>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</si>
  <si>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</si>
  <si>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</si>
  <si>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</si>
  <si>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</si>
  <si>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</si>
  <si>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</si>
  <si>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</si>
  <si>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</si>
  <si>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</si>
  <si>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</si>
  <si>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</si>
  <si>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</si>
  <si>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</si>
  <si>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</si>
  <si>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</si>
  <si>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</si>
  <si>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</si>
  <si>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</si>
  <si>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</si>
  <si>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</si>
  <si>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</si>
  <si>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</si>
  <si>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</si>
  <si>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</si>
  <si>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</si>
  <si>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</si>
  <si>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</si>
  <si>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</si>
  <si>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</si>
  <si>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</si>
  <si>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</si>
  <si>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</si>
  <si>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</si>
  <si>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</si>
  <si>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</si>
  <si>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</si>
  <si>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</si>
  <si>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</si>
  <si>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</si>
  <si>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</si>
  <si>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</si>
  <si>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</si>
  <si>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</si>
  <si>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</si>
  <si>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</si>
  <si>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</si>
  <si>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</si>
  <si>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</si>
  <si>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</si>
  <si>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</si>
  <si>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</si>
  <si>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</si>
  <si>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</si>
  <si>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</si>
  <si>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</si>
  <si>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</si>
  <si>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</si>
  <si>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</si>
  <si>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</si>
  <si>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</si>
  <si>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</si>
  <si>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</si>
  <si>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</si>
  <si>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</si>
  <si>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</si>
  <si>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</si>
  <si>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</si>
  <si>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</si>
  <si>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</si>
  <si>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</si>
  <si>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</si>
  <si>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</si>
  <si>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</si>
  <si>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</si>
  <si>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</si>
  <si>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</si>
  <si>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</si>
  <si>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</si>
  <si>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</si>
  <si>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</si>
  <si>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</si>
  <si>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</si>
  <si>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</si>
  <si>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</si>
  <si>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</si>
  <si>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</si>
  <si>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</si>
  <si>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</si>
  <si>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</si>
  <si>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</si>
  <si>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</si>
  <si>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</si>
  <si>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</si>
  <si>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</si>
  <si>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</si>
  <si>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</si>
  <si>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</si>
  <si>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</si>
  <si>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</si>
  <si>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</si>
  <si>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</si>
  <si>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</si>
  <si>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</si>
  <si>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</si>
  <si>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</si>
  <si>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</si>
  <si>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</si>
  <si>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</si>
  <si>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</si>
  <si>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</si>
  <si>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</si>
  <si>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</si>
  <si>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</si>
  <si>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</si>
  <si>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</si>
  <si>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</si>
  <si>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</si>
  <si>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</si>
  <si>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</si>
  <si>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</si>
  <si>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</si>
  <si>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</si>
  <si>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</si>
  <si>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</si>
  <si>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</si>
  <si>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</si>
  <si>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</si>
  <si>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</si>
  <si>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</si>
  <si>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</si>
  <si>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</si>
  <si>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</si>
  <si>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</si>
  <si>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</si>
  <si>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</si>
  <si>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</si>
  <si>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</si>
  <si>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</si>
  <si>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</si>
  <si>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</si>
  <si>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</si>
  <si>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</si>
  <si>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</si>
  <si>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</si>
  <si>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</si>
  <si>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</si>
  <si>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</si>
  <si>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</si>
  <si>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</si>
  <si>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</si>
  <si>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</si>
  <si>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</si>
  <si>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</si>
  <si>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</si>
  <si>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</si>
  <si>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</si>
  <si>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</si>
  <si>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</si>
  <si>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</si>
  <si>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</si>
  <si>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</si>
  <si>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</si>
  <si>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</si>
  <si>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</si>
  <si>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</si>
  <si>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</si>
  <si>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</si>
  <si>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</si>
  <si>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</si>
  <si>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</si>
  <si>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</si>
  <si>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</si>
  <si>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</si>
  <si>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</si>
  <si>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</si>
  <si>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</si>
  <si>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</si>
  <si>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</si>
  <si>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</si>
  <si>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</si>
  <si>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</si>
  <si>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</si>
  <si>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</si>
  <si>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</si>
  <si>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</si>
  <si>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</si>
  <si>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</si>
  <si>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</si>
  <si>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</si>
  <si>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</si>
  <si>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</si>
  <si>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</si>
  <si>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</si>
  <si>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</si>
  <si>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</si>
  <si>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</si>
  <si>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</si>
  <si>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</si>
  <si>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</si>
  <si>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</si>
  <si>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</si>
  <si>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</si>
  <si>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</si>
  <si>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</si>
  <si>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</si>
  <si>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</si>
  <si>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</si>
  <si>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</si>
  <si>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</si>
  <si>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</si>
  <si>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</si>
  <si>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</si>
  <si>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</si>
  <si>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</si>
  <si>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</si>
  <si>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</si>
  <si>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</si>
  <si>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</si>
  <si>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</si>
  <si>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</si>
  <si>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</si>
  <si>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</si>
  <si>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</si>
  <si>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</si>
  <si>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</si>
  <si>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</si>
  <si>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</si>
  <si>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</si>
  <si>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</si>
  <si>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</si>
  <si>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</si>
  <si>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</si>
  <si>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</si>
  <si>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</si>
  <si>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</si>
  <si>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</si>
  <si>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</si>
  <si>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</si>
  <si>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</si>
  <si>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</si>
  <si>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</si>
  <si>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</si>
  <si>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</si>
  <si>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</si>
  <si>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</si>
  <si>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</si>
  <si>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</si>
  <si>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</si>
  <si>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</si>
  <si>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</si>
  <si>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</si>
  <si>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</si>
  <si>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</si>
  <si>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</si>
  <si>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</si>
  <si>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</si>
  <si>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</si>
  <si>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</si>
  <si>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</si>
  <si>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</si>
  <si>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</si>
  <si>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</si>
  <si>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</si>
  <si>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</si>
  <si>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</si>
  <si>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</si>
  <si>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</si>
  <si>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</si>
  <si>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</si>
  <si>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</si>
  <si>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</si>
  <si>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</si>
  <si>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</si>
  <si>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</si>
  <si>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</si>
  <si>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</si>
  <si>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</si>
  <si>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</si>
  <si>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</si>
  <si>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</si>
  <si>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</si>
  <si>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</si>
  <si>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</si>
  <si>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</si>
  <si>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</si>
  <si>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</si>
  <si>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</si>
  <si>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</si>
  <si>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</si>
  <si>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</si>
  <si>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</si>
  <si>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</si>
  <si>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</si>
  <si>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</si>
  <si>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</si>
  <si>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</si>
  <si>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</si>
  <si>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</si>
  <si>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</si>
  <si>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</si>
  <si>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</si>
  <si>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</si>
  <si>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</si>
  <si>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</si>
  <si>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</si>
  <si>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</si>
  <si>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</si>
  <si>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</si>
  <si>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</si>
  <si>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</si>
  <si>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</si>
  <si>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</si>
  <si>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</si>
  <si>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</si>
  <si>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</si>
  <si>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</si>
  <si>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</si>
  <si>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</si>
  <si>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</si>
  <si>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</si>
  <si>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</si>
  <si>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</si>
  <si>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</si>
  <si>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</si>
  <si>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</si>
  <si>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</si>
  <si>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</si>
  <si>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</si>
  <si>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</si>
  <si>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</si>
  <si>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</si>
  <si>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</si>
  <si>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</si>
  <si>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</si>
  <si>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</si>
  <si>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</si>
  <si>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</si>
  <si>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</si>
  <si>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</si>
  <si>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</si>
  <si>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</si>
  <si>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</si>
  <si>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</si>
  <si>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</si>
  <si>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</si>
  <si>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</si>
  <si>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</si>
  <si>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</si>
  <si>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</si>
  <si>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</si>
  <si>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</si>
  <si>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</si>
  <si>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</si>
  <si>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</si>
  <si>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</si>
  <si>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</si>
  <si>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</si>
  <si>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</si>
  <si>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</si>
  <si>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</si>
  <si>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</si>
  <si>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</si>
  <si>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</si>
  <si>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</si>
  <si>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</si>
  <si>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</si>
  <si>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</si>
  <si>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</si>
  <si>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</si>
  <si>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</si>
  <si>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</si>
  <si>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</si>
  <si>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</si>
  <si>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</si>
  <si>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</si>
  <si>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</si>
  <si>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</si>
  <si>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</si>
  <si>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</si>
  <si>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</si>
  <si>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</si>
  <si>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</si>
  <si>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</si>
  <si>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</si>
  <si>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</si>
  <si>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</si>
  <si>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</si>
  <si>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</si>
  <si>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</si>
  <si>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</si>
  <si>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</si>
  <si>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</si>
  <si>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</si>
  <si>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</si>
  <si>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</si>
  <si>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</si>
  <si>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</si>
  <si>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</si>
  <si>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</si>
  <si>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</si>
  <si>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</si>
  <si>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</si>
  <si>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</si>
  <si>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</si>
  <si>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</si>
  <si>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</si>
  <si>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</si>
  <si>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</si>
  <si>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</si>
  <si>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</si>
  <si>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</si>
  <si>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</si>
  <si>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</si>
  <si>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</si>
  <si>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</si>
  <si>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</si>
  <si>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</si>
  <si>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</si>
  <si>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</si>
  <si>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</si>
  <si>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</si>
  <si>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</si>
  <si>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</si>
  <si>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</si>
  <si>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</si>
  <si>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</si>
  <si>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</si>
  <si>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</si>
  <si>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</si>
  <si>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</si>
  <si>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</si>
  <si>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</si>
  <si>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</si>
  <si>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</si>
  <si>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</si>
  <si>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</si>
  <si>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</si>
  <si>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</si>
  <si>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</si>
  <si>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</si>
  <si>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</si>
  <si>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</si>
  <si>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</si>
  <si>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</si>
  <si>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</si>
  <si>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</si>
  <si>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</si>
  <si>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</si>
  <si>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</si>
  <si>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</si>
  <si>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</si>
  <si>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</si>
  <si>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</si>
  <si>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</si>
  <si>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</si>
  <si>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</si>
  <si>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</si>
  <si>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</si>
  <si>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</si>
  <si>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</si>
  <si>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</si>
  <si>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</si>
  <si>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</si>
  <si>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</si>
  <si>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</si>
  <si>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</si>
  <si>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</si>
  <si>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</si>
  <si>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</si>
  <si>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</si>
  <si>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</si>
  <si>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</si>
  <si>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</si>
  <si>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</si>
  <si>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</si>
  <si>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</si>
  <si>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</si>
  <si>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</si>
  <si>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</si>
  <si>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</si>
  <si>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</si>
  <si>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</si>
  <si>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</si>
  <si>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</si>
  <si>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</si>
  <si>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</si>
  <si>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</si>
  <si>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</si>
  <si>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</si>
  <si>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</si>
  <si>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</si>
  <si>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</si>
  <si>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</si>
  <si>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</si>
  <si>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</si>
  <si>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</si>
  <si>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</si>
  <si>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</si>
  <si>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</si>
  <si>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</si>
  <si>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</si>
  <si>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</si>
  <si>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</si>
  <si>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</si>
  <si>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</si>
  <si>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</si>
  <si>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</si>
  <si>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</si>
  <si>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</si>
  <si>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</si>
  <si>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</si>
  <si>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</si>
  <si>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</si>
  <si>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</si>
  <si>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</si>
  <si>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</si>
  <si>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</si>
  <si>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</si>
  <si>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</si>
  <si>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</si>
  <si>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</si>
  <si>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</si>
  <si>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</si>
  <si>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</si>
  <si>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</si>
  <si>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</si>
  <si>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</si>
  <si>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</si>
  <si>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</si>
  <si>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</si>
  <si>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</si>
  <si>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</si>
  <si>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</si>
  <si>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</si>
  <si>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</si>
  <si>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</si>
  <si>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</si>
  <si>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</si>
  <si>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</si>
  <si>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</si>
  <si>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</si>
  <si>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</si>
  <si>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</si>
  <si>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</si>
  <si>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</si>
  <si>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</si>
  <si>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</si>
  <si>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</si>
  <si>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</si>
  <si>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</si>
  <si>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</si>
  <si>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</si>
  <si>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</si>
  <si>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</si>
  <si>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</si>
  <si>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</si>
  <si>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</si>
  <si>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</si>
  <si>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</si>
  <si>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</si>
  <si>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</si>
  <si>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</si>
  <si>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</si>
  <si>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</si>
  <si>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</si>
  <si>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</si>
  <si>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</si>
  <si>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</si>
  <si>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</si>
  <si>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</si>
  <si>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</si>
  <si>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</si>
  <si>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</si>
  <si>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</si>
  <si>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</si>
  <si>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</si>
  <si>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</si>
  <si>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</si>
  <si>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</si>
  <si>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</si>
  <si>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</si>
  <si>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</si>
  <si>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</si>
  <si>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</si>
  <si>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</si>
  <si>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</si>
  <si>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</si>
  <si>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</si>
  <si>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</si>
  <si>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</si>
  <si>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</si>
  <si>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</si>
  <si>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</si>
  <si>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</si>
  <si>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</si>
  <si>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</si>
  <si>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</si>
  <si>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</si>
  <si>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</si>
  <si>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</si>
  <si>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</si>
  <si>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</si>
  <si>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</si>
  <si>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</si>
  <si>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</si>
  <si>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</si>
  <si>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</si>
  <si>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</si>
  <si>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</si>
  <si>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</si>
  <si>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</si>
  <si>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</si>
  <si>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</si>
  <si>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</si>
  <si>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</si>
  <si>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</si>
  <si>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</si>
  <si>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</si>
  <si>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</si>
  <si>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</si>
  <si>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</si>
  <si>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</si>
  <si>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</si>
  <si>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</si>
  <si>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</si>
  <si>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</si>
  <si>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</si>
  <si>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</si>
  <si>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</si>
  <si>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</si>
  <si>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</si>
  <si>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</si>
  <si>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</si>
  <si>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</si>
  <si>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</si>
  <si>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</si>
  <si>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</si>
  <si>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</si>
  <si>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</si>
  <si>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</si>
  <si>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</si>
  <si>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</si>
  <si>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</si>
  <si>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</si>
  <si>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</si>
  <si>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</si>
  <si>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</si>
  <si>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</si>
  <si>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</si>
  <si>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</si>
  <si>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</si>
  <si>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</si>
  <si>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</si>
  <si>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</si>
  <si>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</si>
  <si>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</si>
  <si>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</si>
  <si>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</si>
  <si>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</si>
  <si>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</si>
  <si>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</si>
  <si>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</si>
  <si>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</si>
  <si>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</si>
  <si>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</si>
  <si>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</si>
  <si>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</si>
  <si>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</si>
  <si>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</si>
  <si>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</si>
  <si>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</si>
  <si>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</si>
  <si>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</si>
  <si>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</si>
  <si>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</si>
  <si>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</si>
  <si>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</si>
  <si>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</si>
  <si>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</si>
  <si>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</si>
  <si>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</si>
  <si>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</si>
  <si>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</si>
  <si>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</si>
  <si>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</si>
  <si>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</si>
  <si>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</si>
  <si>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</si>
  <si>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</si>
  <si>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</si>
  <si>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</si>
  <si>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</si>
  <si>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</si>
  <si>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</si>
  <si>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</si>
  <si>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</si>
  <si>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</si>
  <si>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</si>
  <si>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</si>
  <si>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</si>
  <si>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</si>
  <si>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</si>
  <si>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</si>
  <si>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</si>
  <si>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</si>
  <si>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</si>
  <si>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</si>
  <si>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</si>
  <si>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</si>
  <si>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</si>
  <si>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</si>
  <si>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</si>
  <si>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</si>
  <si>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</si>
  <si>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</si>
  <si>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</si>
  <si>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</si>
  <si>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</si>
  <si>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</si>
  <si>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</si>
  <si>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</si>
  <si>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</si>
  <si>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</si>
  <si>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</si>
  <si>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</si>
  <si>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</si>
  <si>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</si>
  <si>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</si>
  <si>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</si>
  <si>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</si>
  <si>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</si>
  <si>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</si>
  <si>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</si>
  <si>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</si>
  <si>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</si>
  <si>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</si>
  <si>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</si>
  <si>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</si>
  <si>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</si>
  <si>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</si>
  <si>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</si>
  <si>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</si>
  <si>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</si>
  <si>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</si>
  <si>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</si>
  <si>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</si>
  <si>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</si>
  <si>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</si>
  <si>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</si>
  <si>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</si>
  <si>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</si>
  <si>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</si>
  <si>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</si>
  <si>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</si>
  <si>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</si>
  <si>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</si>
  <si>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</si>
  <si>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</si>
  <si>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</si>
  <si>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</si>
  <si>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</si>
  <si>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</si>
  <si>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</si>
  <si>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</si>
  <si>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</si>
  <si>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</si>
  <si>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</si>
  <si>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</si>
  <si>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</si>
  <si>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</si>
  <si>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</si>
  <si>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</si>
  <si>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</si>
  <si>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</si>
  <si>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</si>
  <si>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</si>
  <si>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</si>
  <si>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</si>
  <si>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</si>
  <si>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</si>
  <si>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</si>
  <si>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</si>
  <si>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</si>
  <si>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</si>
  <si>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</si>
  <si>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</si>
  <si>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</si>
  <si>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</si>
  <si>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</si>
  <si>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</si>
  <si>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</si>
  <si>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</si>
  <si>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</si>
  <si>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</si>
  <si>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</si>
  <si>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</si>
  <si>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</si>
  <si>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</si>
  <si>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</si>
  <si>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</si>
  <si>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</si>
  <si>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</si>
  <si>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</si>
  <si>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</si>
  <si>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</si>
  <si>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</si>
  <si>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</si>
  <si>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</si>
  <si>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</si>
  <si>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</si>
  <si>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</si>
  <si>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</si>
  <si>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</si>
  <si>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</si>
  <si>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</si>
  <si>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</si>
  <si>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</si>
  <si>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</si>
  <si>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</si>
  <si>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</si>
  <si>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</si>
  <si>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</si>
  <si>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</si>
  <si>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</si>
  <si>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</si>
  <si>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</si>
  <si>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</si>
  <si>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</si>
  <si>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</si>
  <si>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</si>
  <si>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</si>
  <si>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</si>
  <si>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</si>
  <si>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</si>
  <si>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</si>
  <si>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</si>
  <si>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</si>
  <si>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</si>
  <si>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</si>
  <si>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</si>
  <si>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</si>
  <si>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</si>
  <si>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</si>
  <si>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</si>
  <si>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</si>
  <si>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</si>
  <si>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</si>
  <si>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</si>
  <si>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</si>
  <si>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</si>
  <si>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</si>
  <si>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</si>
  <si>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</si>
  <si>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</si>
  <si>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</si>
  <si>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</si>
  <si>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</si>
  <si>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</si>
  <si>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</si>
  <si>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</si>
  <si>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</si>
  <si>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</si>
  <si>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</si>
  <si>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</si>
  <si>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</si>
  <si>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</si>
  <si>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</si>
  <si>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</si>
  <si>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</si>
  <si>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</si>
  <si>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</si>
  <si>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</si>
  <si>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</si>
  <si>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</si>
  <si>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</si>
  <si>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</si>
  <si>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</si>
  <si>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</si>
  <si>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</si>
  <si>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</si>
  <si>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</si>
  <si>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</si>
  <si>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</si>
  <si>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</si>
  <si>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</si>
  <si>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</si>
  <si>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</si>
  <si>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</si>
  <si>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</si>
  <si>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</si>
  <si>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</si>
  <si>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</si>
  <si>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</si>
  <si>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</si>
  <si>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</si>
  <si>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</si>
  <si>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</si>
  <si>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</si>
  <si>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</si>
  <si>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</si>
  <si>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</si>
  <si>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</si>
  <si>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</si>
  <si>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</si>
  <si>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</si>
  <si>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</si>
  <si>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</si>
  <si>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</si>
  <si>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</si>
  <si>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</si>
  <si>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</si>
  <si>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</si>
  <si>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</si>
  <si>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</si>
  <si>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</si>
  <si>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</si>
  <si>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</si>
  <si>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</si>
  <si>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</si>
  <si>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</si>
  <si>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</si>
  <si>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</si>
  <si>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</si>
  <si>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</si>
  <si>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</si>
  <si>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</si>
  <si>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</si>
  <si>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</si>
  <si>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</si>
  <si>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</si>
  <si>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</si>
  <si>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</si>
  <si>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</si>
  <si>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</si>
  <si>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</si>
  <si>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</si>
  <si>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</si>
  <si>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</si>
  <si>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</si>
  <si>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</si>
  <si>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</si>
  <si>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</si>
  <si>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</si>
  <si>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</si>
  <si>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</si>
  <si>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</si>
  <si>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</si>
  <si>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</si>
  <si>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</si>
  <si>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</si>
  <si>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</si>
  <si>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</si>
  <si>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</si>
  <si>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</si>
  <si>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</si>
  <si>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</si>
  <si>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</si>
  <si>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</si>
  <si>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</si>
  <si>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</si>
  <si>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</si>
  <si>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</si>
  <si>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</si>
  <si>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</si>
  <si>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</si>
  <si>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</si>
  <si>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</si>
  <si>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</si>
  <si>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</si>
  <si>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</si>
  <si>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</si>
  <si>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</si>
  <si>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</si>
  <si>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</si>
  <si>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</si>
  <si>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</si>
  <si>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</si>
  <si>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</si>
  <si>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</si>
  <si>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</si>
  <si>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</si>
  <si>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</si>
  <si>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</si>
  <si>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</si>
  <si>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</si>
  <si>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</si>
  <si>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</si>
  <si>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</si>
  <si>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</si>
  <si>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</si>
  <si>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</si>
  <si>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</si>
  <si>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</si>
  <si>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</si>
  <si>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</si>
  <si>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</si>
  <si>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</si>
  <si>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</si>
  <si>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</si>
  <si>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</si>
  <si>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</si>
  <si>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</si>
  <si>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</si>
  <si>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</si>
  <si>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</si>
  <si>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</si>
  <si>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</si>
  <si>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</si>
  <si>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</si>
  <si>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</si>
  <si>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</si>
  <si>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</si>
  <si>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</si>
  <si>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</si>
  <si>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</si>
  <si>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</si>
  <si>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</si>
  <si>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</si>
  <si>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</si>
  <si>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</si>
  <si>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</si>
  <si>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</si>
  <si>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</si>
  <si>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</si>
  <si>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</si>
  <si>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</si>
  <si>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</si>
  <si>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</si>
  <si>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</si>
  <si>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</si>
  <si>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</si>
  <si>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</si>
  <si>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</si>
  <si>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</si>
  <si>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</si>
  <si>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</si>
  <si>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</si>
  <si>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</si>
  <si>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</si>
  <si>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</si>
  <si>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</si>
  <si>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</si>
  <si>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</si>
  <si>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</si>
  <si>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</si>
  <si>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</si>
  <si>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</si>
  <si>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</si>
  <si>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</si>
  <si>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</si>
  <si>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</si>
  <si>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</si>
  <si>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</si>
  <si>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</si>
  <si>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</si>
  <si>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</si>
  <si>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</si>
  <si>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</si>
  <si>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</si>
  <si>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</si>
  <si>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</si>
  <si>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</si>
  <si>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</si>
  <si>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</si>
  <si>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</si>
  <si>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</si>
  <si>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</si>
  <si>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</si>
  <si>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</si>
  <si>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</si>
  <si>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</si>
  <si>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</si>
  <si>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</si>
  <si>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</si>
  <si>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</si>
  <si>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</si>
  <si>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</si>
  <si>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</si>
  <si>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</si>
  <si>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</si>
  <si>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</si>
  <si>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</si>
  <si>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</si>
  <si>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</si>
  <si>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</si>
  <si>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</si>
  <si>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</si>
  <si>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</si>
  <si>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</si>
  <si>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</si>
  <si>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</si>
  <si>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</si>
  <si>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</si>
  <si>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</si>
  <si>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</si>
  <si>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</si>
  <si>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</si>
  <si>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</si>
  <si>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</si>
  <si>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</si>
  <si>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</si>
  <si>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</si>
  <si>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</si>
  <si>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</si>
  <si>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</si>
  <si>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</si>
  <si>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</si>
  <si>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</si>
  <si>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</si>
  <si>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</si>
  <si>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</si>
  <si>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</si>
  <si>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</si>
  <si>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</si>
  <si>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</si>
  <si>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</si>
  <si>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</si>
  <si>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</si>
  <si>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</si>
  <si>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</si>
  <si>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</si>
  <si>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</si>
  <si>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</si>
  <si>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</si>
  <si>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</si>
  <si>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</si>
  <si>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</si>
  <si>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</si>
  <si>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</si>
  <si>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</si>
  <si>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</si>
  <si>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</si>
  <si>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</si>
  <si>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</si>
  <si>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</si>
  <si>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</si>
  <si>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</si>
  <si>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</si>
  <si>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</si>
  <si>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</si>
  <si>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</si>
  <si>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</si>
  <si>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</si>
  <si>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</si>
  <si>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</si>
  <si>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</si>
  <si>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</si>
  <si>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</si>
  <si>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</si>
  <si>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</si>
  <si>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</si>
  <si>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</si>
  <si>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</si>
  <si>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</si>
  <si>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</si>
  <si>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</si>
  <si>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</si>
  <si>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</si>
  <si>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</si>
  <si>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</si>
  <si>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</si>
  <si>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</si>
  <si>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</si>
  <si>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</si>
  <si>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</si>
  <si>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</si>
  <si>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</si>
  <si>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</si>
  <si>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</si>
  <si>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</si>
  <si>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</si>
  <si>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</si>
  <si>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</si>
  <si>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</si>
  <si>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</si>
  <si>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</si>
  <si>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</si>
  <si>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</si>
  <si>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</si>
  <si>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</si>
  <si>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</si>
  <si>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</si>
  <si>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</si>
  <si>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</si>
  <si>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</si>
  <si>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</si>
  <si>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</si>
  <si>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</si>
  <si>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</si>
  <si>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</si>
  <si>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</si>
  <si>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</si>
  <si>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</si>
  <si>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</si>
  <si>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</si>
  <si>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</si>
  <si>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</si>
  <si>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</si>
  <si>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</si>
  <si>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</si>
  <si>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</si>
  <si>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</si>
  <si>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</si>
  <si>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</si>
  <si>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</si>
  <si>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</si>
  <si>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</si>
  <si>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</si>
  <si>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</si>
  <si>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</si>
  <si>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</si>
  <si>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</si>
  <si>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</si>
  <si>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</si>
  <si>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</si>
  <si>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</si>
  <si>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</si>
  <si>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</si>
  <si>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</si>
  <si>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</si>
  <si>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</si>
  <si>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</si>
  <si>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</si>
  <si>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</si>
  <si>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</si>
  <si>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</si>
  <si>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</si>
  <si>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</si>
  <si>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</si>
  <si>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</si>
  <si>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</si>
  <si>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</si>
  <si>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</si>
  <si>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</si>
  <si>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</si>
  <si>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</si>
  <si>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</si>
  <si>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</si>
  <si>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</si>
  <si>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</si>
  <si>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</si>
  <si>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</si>
  <si>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</si>
  <si>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</si>
  <si>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</si>
  <si>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</si>
  <si>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</si>
  <si>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</si>
  <si>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</si>
  <si>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</si>
  <si>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</si>
  <si>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</si>
  <si>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</si>
  <si>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</si>
  <si>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</si>
  <si>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</si>
  <si>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</si>
  <si>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</si>
  <si>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</si>
  <si>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</si>
  <si>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</si>
  <si>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</si>
  <si>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</si>
  <si>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</si>
  <si>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</si>
  <si>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</si>
  <si>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</si>
  <si>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</si>
  <si>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</si>
  <si>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</si>
  <si>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</si>
  <si>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</si>
  <si>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</si>
  <si>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</si>
  <si>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</si>
  <si>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</si>
  <si>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</si>
  <si>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</si>
  <si>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</si>
  <si>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</si>
  <si>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</si>
  <si>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</si>
  <si>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</si>
  <si>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</si>
  <si>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</si>
  <si>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</si>
  <si>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</si>
  <si>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</si>
  <si>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</si>
  <si>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</si>
  <si>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</si>
  <si>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</si>
  <si>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</si>
  <si>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</si>
  <si>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</si>
  <si>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</si>
  <si>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</si>
  <si>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</si>
  <si>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</si>
  <si>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</si>
  <si>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</si>
  <si>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</si>
  <si>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</si>
  <si>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</si>
  <si>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</si>
  <si>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</si>
  <si>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</si>
  <si>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</si>
  <si>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</si>
  <si>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</si>
  <si>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</si>
  <si>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</si>
  <si>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</si>
  <si>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</si>
  <si>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</si>
  <si>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</si>
  <si>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</si>
  <si>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</si>
  <si>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</si>
  <si>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</si>
  <si>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</si>
  <si>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</si>
  <si>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</si>
  <si>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</si>
  <si>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</si>
  <si>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</si>
  <si>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</si>
  <si>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</si>
  <si>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</si>
  <si>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</si>
  <si>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</si>
  <si>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</si>
  <si>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</si>
  <si>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</si>
  <si>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</si>
  <si>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</si>
  <si>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</si>
  <si>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</si>
  <si>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</si>
  <si>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</si>
  <si>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</si>
  <si>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</si>
  <si>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</si>
  <si>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</si>
  <si>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</si>
  <si>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</si>
  <si>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</si>
  <si>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</si>
  <si>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</si>
  <si>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</si>
  <si>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</si>
  <si>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</si>
  <si>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</si>
  <si>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</si>
  <si>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</si>
  <si>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</si>
  <si>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</si>
  <si>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</si>
  <si>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</si>
  <si>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</si>
  <si>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</si>
  <si>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</si>
  <si>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</si>
  <si>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</si>
  <si>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</si>
  <si>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</si>
  <si>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</si>
  <si>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</si>
  <si>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</si>
  <si>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</si>
  <si>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</si>
  <si>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</si>
  <si>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</si>
  <si>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</si>
  <si>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</si>
  <si>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</si>
  <si>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</si>
  <si>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</si>
  <si>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</si>
  <si>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</si>
  <si>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</si>
  <si>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</si>
  <si>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</si>
  <si>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</si>
  <si>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</si>
  <si>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</si>
  <si>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</si>
  <si>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</si>
  <si>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</si>
  <si>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</si>
  <si>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</si>
  <si>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</si>
  <si>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</si>
  <si>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</si>
  <si>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</si>
  <si>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</si>
  <si>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</si>
  <si>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</si>
  <si>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</si>
  <si>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</si>
  <si>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</si>
  <si>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</si>
  <si>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</si>
  <si>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</si>
  <si>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</si>
  <si>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</si>
  <si>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</si>
  <si>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</si>
  <si>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</si>
  <si>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</si>
  <si>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</si>
  <si>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</si>
  <si>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</si>
  <si>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</si>
  <si>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</si>
  <si>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</si>
  <si>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</si>
  <si>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</si>
  <si>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</si>
  <si>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</si>
  <si>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</si>
  <si>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</si>
  <si>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</si>
  <si>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</si>
  <si>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</si>
  <si>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</si>
  <si>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</si>
  <si>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</si>
  <si>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</si>
  <si>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</si>
  <si>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</si>
  <si>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</si>
  <si>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</si>
  <si>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</si>
  <si>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</si>
  <si>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</si>
  <si>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</si>
  <si>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</si>
  <si>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</si>
  <si>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</si>
  <si>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</si>
  <si>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</si>
  <si>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</si>
  <si>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</si>
  <si>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</si>
  <si>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</si>
  <si>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</si>
  <si>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</si>
  <si>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</si>
  <si>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</si>
  <si>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</si>
  <si>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</si>
  <si>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</si>
  <si>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</si>
  <si>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</si>
  <si>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</si>
  <si>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</si>
  <si>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</si>
  <si>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</si>
  <si>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</si>
  <si>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</si>
  <si>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</si>
  <si>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</si>
  <si>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</si>
  <si>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</si>
  <si>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</si>
  <si>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</si>
  <si>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</si>
  <si>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</si>
  <si>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</si>
  <si>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</si>
  <si>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</si>
  <si>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</si>
  <si>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</si>
  <si>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</si>
  <si>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</si>
  <si>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</si>
  <si>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</si>
  <si>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</si>
  <si>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</si>
  <si>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</si>
  <si>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</si>
  <si>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</si>
  <si>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</si>
  <si>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</si>
  <si>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</si>
  <si>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</si>
  <si>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</si>
  <si>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</si>
  <si>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</si>
  <si>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</si>
  <si>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</si>
  <si>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</si>
  <si>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</si>
  <si>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</si>
  <si>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</si>
  <si>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</si>
  <si>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</si>
  <si>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</si>
  <si>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</si>
  <si>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</si>
  <si>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</si>
  <si>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</si>
  <si>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</si>
  <si>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</si>
  <si>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</si>
  <si>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</si>
  <si>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</si>
  <si>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</si>
  <si>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</si>
  <si>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</si>
  <si>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</si>
  <si>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</si>
  <si>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</si>
  <si>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</si>
  <si>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</si>
  <si>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</si>
  <si>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</si>
  <si>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</si>
  <si>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</si>
  <si>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</si>
  <si>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</si>
  <si>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</si>
  <si>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</si>
  <si>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</si>
  <si>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</si>
  <si>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</si>
  <si>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</si>
  <si>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</si>
  <si>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</si>
  <si>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</si>
  <si>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</si>
  <si>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</si>
  <si>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</si>
  <si>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</si>
  <si>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</si>
  <si>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</si>
  <si>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</si>
  <si>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</si>
  <si>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</si>
  <si>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</si>
  <si>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</si>
  <si>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</si>
  <si>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</si>
  <si>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</si>
  <si>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</si>
  <si>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</si>
  <si>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</si>
  <si>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</si>
  <si>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</si>
  <si>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</si>
  <si>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</si>
  <si>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</si>
  <si>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</si>
  <si>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</si>
  <si>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</si>
  <si>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</si>
  <si>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</si>
  <si>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</si>
  <si>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</si>
  <si>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</si>
  <si>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</si>
  <si>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</si>
  <si>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</si>
  <si>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</si>
  <si>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</si>
  <si>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</si>
  <si>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</si>
  <si>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</si>
  <si>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</si>
  <si>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</si>
  <si>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</si>
  <si>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</si>
  <si>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</si>
  <si>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</si>
  <si>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</si>
  <si>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</si>
  <si>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</si>
  <si>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</si>
  <si>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</si>
  <si>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</si>
  <si>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</si>
  <si>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</si>
  <si>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</si>
  <si>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</si>
  <si>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</si>
  <si>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</si>
  <si>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</si>
  <si>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</si>
  <si>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</si>
  <si>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</si>
  <si>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</si>
  <si>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</si>
  <si>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</si>
  <si>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</si>
  <si>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</si>
  <si>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</si>
  <si>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</si>
  <si>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</si>
  <si>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</si>
  <si>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</si>
  <si>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</si>
  <si>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</si>
  <si>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</si>
  <si>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</si>
  <si>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</si>
  <si>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</si>
  <si>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</si>
  <si>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</si>
  <si>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</si>
  <si>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</si>
  <si>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</si>
  <si>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</si>
  <si>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</si>
  <si>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</si>
  <si>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</si>
  <si>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</si>
  <si>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</si>
  <si>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</si>
  <si>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</si>
  <si>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</si>
  <si>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</si>
  <si>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</si>
  <si>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</si>
  <si>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</si>
  <si>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</si>
  <si>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</si>
  <si>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</si>
  <si>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</si>
  <si>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</si>
  <si>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</si>
  <si>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</si>
  <si>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</si>
  <si>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</si>
  <si>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</si>
  <si>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</si>
  <si>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</si>
  <si>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</si>
  <si>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</si>
  <si>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</si>
  <si>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</si>
  <si>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</si>
  <si>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</si>
  <si>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</si>
  <si>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</si>
  <si>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</si>
  <si>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</si>
  <si>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</si>
  <si>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</si>
  <si>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</si>
  <si>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</si>
  <si>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</si>
  <si>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</si>
  <si>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</si>
  <si>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</si>
  <si>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</si>
  <si>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</si>
  <si>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</si>
  <si>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</si>
  <si>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</si>
  <si>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</si>
  <si>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</si>
  <si>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</si>
  <si>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</si>
  <si>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</si>
  <si>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</si>
  <si>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</si>
  <si>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</si>
  <si>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</si>
  <si>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</si>
  <si>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</si>
  <si>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</si>
  <si>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</si>
  <si>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</si>
  <si>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</si>
  <si>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</si>
  <si>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</si>
  <si>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</si>
  <si>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</si>
  <si>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</si>
  <si>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</si>
  <si>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</si>
  <si>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</si>
  <si>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</si>
  <si>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</si>
  <si>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</si>
  <si>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</si>
  <si>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</si>
  <si>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</si>
  <si>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</si>
  <si>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</si>
  <si>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</si>
  <si>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</si>
  <si>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</si>
  <si>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</si>
  <si>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</si>
  <si>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</si>
  <si>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</si>
  <si>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</si>
  <si>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</si>
  <si>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</si>
  <si>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</si>
  <si>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</si>
  <si>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</si>
  <si>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</si>
  <si>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</si>
  <si>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</si>
  <si>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</si>
  <si>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</si>
  <si>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</si>
  <si>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</si>
  <si>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</si>
  <si>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</si>
  <si>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</si>
  <si>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</si>
  <si>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</si>
  <si>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</si>
  <si>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</si>
  <si>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</si>
  <si>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</si>
  <si>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</si>
  <si>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</si>
  <si>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</si>
  <si>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</si>
  <si>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</si>
  <si>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</si>
  <si>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</si>
  <si>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</si>
  <si>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</si>
  <si>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</si>
  <si>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</si>
  <si>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</si>
  <si>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</si>
  <si>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</si>
  <si>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</si>
  <si>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</si>
  <si>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</si>
  <si>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</si>
  <si>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</si>
  <si>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</si>
  <si>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</si>
  <si>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</si>
  <si>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</si>
  <si>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</si>
  <si>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</si>
  <si>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</si>
  <si>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</si>
  <si>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</si>
  <si>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</si>
  <si>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</si>
  <si>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</si>
  <si>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</si>
  <si>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</si>
  <si>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</si>
  <si>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</si>
  <si>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</si>
  <si>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</si>
  <si>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</si>
  <si>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</si>
  <si>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</si>
  <si>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</si>
  <si>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</si>
  <si>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</si>
  <si>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</si>
  <si>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</si>
  <si>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</si>
  <si>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</si>
  <si>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</si>
  <si>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</si>
  <si>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</si>
  <si>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</si>
  <si>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</si>
  <si>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</si>
  <si>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</si>
  <si>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</si>
  <si>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</si>
  <si>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</si>
  <si>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</si>
  <si>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</si>
  <si>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</si>
  <si>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</si>
  <si>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</si>
  <si>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</si>
  <si>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</si>
  <si>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</si>
  <si>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</si>
  <si>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</si>
  <si>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</si>
  <si>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</si>
  <si>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</si>
  <si>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</si>
  <si>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</si>
  <si>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</si>
  <si>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</si>
  <si>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</si>
  <si>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</si>
  <si>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</si>
  <si>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</si>
  <si>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</si>
  <si>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</si>
  <si>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</si>
  <si>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</si>
  <si>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</si>
  <si>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</si>
  <si>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</si>
  <si>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</si>
  <si>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</si>
  <si>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</si>
  <si>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</si>
  <si>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</si>
  <si>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</si>
  <si>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</si>
  <si>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</si>
  <si>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</si>
  <si>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</si>
  <si>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</si>
  <si>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</si>
  <si>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</si>
  <si>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</si>
  <si>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</si>
  <si>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</si>
  <si>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</si>
  <si>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</si>
  <si>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</si>
  <si>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</si>
  <si>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</si>
  <si>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</si>
  <si>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</si>
  <si>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</si>
  <si>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</si>
  <si>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</si>
  <si>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</si>
  <si>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</si>
  <si>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</si>
  <si>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</si>
  <si>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</si>
  <si>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</si>
  <si>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</si>
  <si>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</si>
  <si>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</si>
  <si>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</si>
  <si>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</si>
  <si>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</si>
  <si>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</si>
  <si>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</si>
  <si>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</si>
  <si>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</si>
  <si>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</si>
  <si>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</si>
  <si>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</si>
  <si>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</si>
  <si>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</si>
  <si>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</si>
  <si>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</si>
  <si>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</si>
  <si>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</si>
  <si>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</si>
  <si>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</si>
  <si>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</si>
  <si>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</si>
  <si>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</si>
  <si>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</si>
  <si>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</si>
  <si>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</si>
  <si>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</si>
  <si>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</si>
  <si>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</si>
  <si>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</si>
  <si>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</si>
  <si>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</si>
  <si>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</si>
  <si>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</si>
  <si>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</si>
  <si>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</si>
  <si>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</si>
  <si>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</si>
  <si>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</si>
  <si>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</si>
  <si>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</si>
  <si>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</si>
  <si>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</si>
  <si>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</si>
  <si>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</si>
  <si>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</si>
  <si>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</si>
  <si>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</si>
  <si>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</si>
  <si>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</si>
  <si>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</si>
  <si>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</si>
  <si>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</si>
  <si>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</si>
  <si>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</si>
  <si>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</si>
  <si>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</si>
  <si>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</si>
  <si>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</si>
  <si>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</si>
  <si>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</si>
  <si>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</si>
  <si>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</si>
  <si>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</si>
  <si>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</si>
  <si>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</si>
  <si>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</si>
  <si>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</si>
  <si>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</si>
  <si>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</si>
  <si>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</si>
  <si>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</si>
  <si>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</si>
  <si>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</si>
  <si>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</si>
  <si>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</si>
  <si>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</si>
  <si>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</si>
  <si>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</si>
  <si>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</si>
  <si>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</si>
  <si>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</si>
  <si>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</si>
  <si>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</si>
  <si>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</si>
  <si>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</si>
  <si>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</si>
  <si>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</si>
  <si>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</si>
  <si>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</si>
  <si>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</si>
  <si>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</si>
  <si>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</si>
  <si>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</si>
  <si>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</si>
  <si>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</si>
  <si>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</si>
  <si>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</si>
  <si>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</si>
  <si>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</si>
  <si>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</si>
  <si>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</si>
  <si>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</si>
  <si>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</si>
  <si>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</si>
  <si>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</si>
  <si>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</si>
  <si>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</si>
  <si>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</si>
  <si>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</si>
  <si>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</si>
  <si>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</si>
  <si>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</si>
  <si>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</si>
  <si>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</si>
  <si>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</si>
  <si>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</si>
  <si>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</si>
  <si>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</si>
  <si>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</si>
  <si>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</si>
  <si>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</si>
  <si>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</si>
  <si>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</si>
  <si>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</si>
  <si>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</si>
  <si>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</si>
  <si>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</si>
  <si>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</si>
  <si>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</si>
  <si>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</si>
  <si>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</si>
  <si>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</si>
  <si>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</si>
  <si>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</si>
  <si>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</si>
  <si>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</si>
  <si>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</si>
  <si>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</si>
  <si>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</si>
  <si>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</si>
  <si>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</si>
  <si>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</si>
  <si>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</si>
  <si>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</si>
  <si>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</si>
  <si>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</si>
  <si>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</si>
  <si>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</si>
  <si>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</si>
  <si>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</si>
  <si>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</si>
  <si>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</si>
  <si>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</si>
  <si>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</si>
  <si>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</si>
  <si>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</si>
  <si>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</si>
  <si>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</si>
  <si>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</si>
  <si>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</si>
  <si>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</si>
  <si>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</si>
  <si>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</si>
  <si>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</si>
  <si>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</si>
  <si>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</si>
  <si>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</si>
  <si>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</si>
  <si>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</si>
  <si>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</si>
  <si>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</si>
  <si>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</si>
  <si>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</si>
  <si>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</si>
  <si>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</si>
  <si>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</si>
  <si>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</si>
  <si>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</si>
  <si>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</si>
  <si>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</si>
  <si>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</si>
  <si>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</si>
  <si>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</si>
  <si>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</si>
  <si>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</si>
  <si>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</si>
  <si>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</si>
  <si>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</si>
  <si>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</si>
  <si>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</si>
  <si>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</si>
  <si>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</si>
  <si>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</si>
  <si>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</si>
  <si>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</si>
  <si>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</si>
  <si>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</si>
  <si>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</si>
  <si>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</si>
  <si>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</si>
  <si>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</si>
  <si>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</si>
  <si>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</si>
  <si>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</si>
  <si>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</si>
  <si>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</si>
  <si>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</si>
  <si>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</si>
  <si>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</si>
  <si>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</si>
  <si>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</si>
  <si>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</si>
  <si>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</si>
  <si>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</si>
  <si>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</si>
  <si>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</si>
  <si>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</si>
  <si>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</si>
  <si>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</si>
  <si>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</si>
  <si>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</si>
  <si>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</si>
  <si>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</si>
  <si>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</si>
  <si>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</si>
  <si>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</si>
  <si>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</si>
  <si>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</si>
  <si>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</si>
  <si>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</si>
  <si>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</si>
  <si>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</si>
  <si>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</si>
  <si>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</si>
  <si>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</si>
  <si>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</si>
  <si>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</si>
  <si>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</si>
  <si>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</si>
  <si>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</si>
  <si>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</si>
  <si>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</si>
  <si>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</si>
  <si>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</si>
  <si>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</si>
  <si>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</si>
  <si>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</si>
  <si>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</si>
  <si>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</si>
  <si>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</si>
  <si>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</si>
  <si>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</si>
  <si>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</si>
  <si>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</si>
  <si>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</si>
  <si>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</si>
  <si>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</si>
  <si>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</si>
  <si>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</si>
  <si>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</si>
  <si>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</si>
  <si>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</si>
  <si>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</si>
  <si>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</si>
  <si>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</si>
  <si>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</si>
  <si>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</si>
  <si>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</si>
  <si>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</si>
  <si>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</si>
  <si>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</si>
  <si>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</si>
  <si>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</si>
  <si>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</si>
  <si>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</si>
  <si>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</si>
  <si>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</si>
  <si>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</si>
  <si>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</si>
  <si>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</si>
  <si>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</si>
  <si>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</si>
  <si>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</si>
  <si>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</si>
  <si>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</si>
  <si>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</si>
  <si>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</si>
  <si>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</si>
  <si>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</si>
  <si>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</si>
  <si>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</si>
  <si>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</si>
  <si>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</si>
  <si>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</si>
  <si>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</si>
  <si>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</si>
  <si>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</si>
  <si>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</si>
  <si>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</si>
  <si>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</si>
  <si>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</si>
  <si>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</si>
  <si>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</si>
  <si>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</si>
  <si>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</si>
  <si>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</si>
  <si>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</si>
  <si>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</si>
  <si>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</si>
  <si>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</si>
  <si>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</si>
  <si>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</si>
  <si>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</si>
  <si>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</si>
  <si>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</si>
  <si>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</si>
  <si>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</si>
  <si>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</si>
  <si>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</si>
  <si>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</si>
  <si>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</si>
  <si>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</si>
  <si>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</si>
  <si>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</si>
  <si>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</si>
  <si>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</si>
  <si>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</si>
  <si>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</si>
  <si>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</si>
  <si>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</si>
  <si>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</si>
  <si>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</si>
  <si>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</si>
  <si>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</si>
  <si>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</si>
  <si>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</si>
  <si>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</si>
  <si>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</si>
  <si>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</si>
  <si>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</si>
  <si>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</si>
  <si>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</si>
  <si>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</si>
  <si>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</si>
  <si>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</si>
  <si>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</si>
  <si>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</si>
  <si>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</si>
  <si>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</si>
  <si>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</si>
  <si>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</si>
  <si>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</si>
  <si>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</si>
  <si>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</si>
  <si>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</si>
  <si>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</si>
  <si>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</si>
  <si>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</si>
  <si>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</si>
  <si>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</si>
  <si>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</si>
  <si>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</si>
  <si>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</si>
  <si>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</si>
  <si>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</si>
  <si>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</si>
  <si>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</si>
  <si>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</si>
  <si>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</si>
  <si>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</si>
  <si>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</si>
  <si>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</si>
  <si>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</si>
  <si>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</si>
  <si>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</si>
  <si>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</si>
  <si>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</si>
  <si>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</si>
  <si>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</si>
  <si>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</si>
  <si>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</si>
  <si>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</si>
  <si>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</si>
  <si>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</si>
  <si>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</si>
  <si>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</si>
  <si>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</si>
  <si>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</si>
  <si>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</si>
  <si>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</si>
  <si>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</si>
  <si>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</si>
  <si>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</si>
  <si>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</si>
  <si>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</si>
  <si>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</si>
  <si>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</si>
  <si>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</si>
  <si>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</si>
  <si>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</si>
  <si>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</si>
  <si>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</si>
  <si>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</si>
  <si>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</si>
  <si>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</si>
  <si>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</si>
  <si>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</si>
  <si>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</si>
  <si>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</si>
  <si>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</si>
  <si>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</si>
  <si>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</si>
  <si>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</si>
  <si>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</si>
  <si>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</si>
  <si>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</si>
  <si>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</si>
  <si>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</si>
  <si>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</si>
  <si>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</si>
  <si>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</si>
  <si>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</si>
  <si>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</si>
  <si>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</si>
  <si>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</si>
  <si>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</si>
  <si>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</si>
  <si>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</si>
  <si>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</si>
  <si>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</si>
  <si>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</si>
  <si>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</si>
  <si>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</si>
  <si>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</si>
  <si>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</si>
  <si>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</si>
  <si>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</si>
  <si>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</si>
  <si>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</si>
  <si>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</si>
  <si>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</si>
  <si>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</si>
  <si>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</si>
  <si>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</si>
  <si>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</si>
  <si>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</si>
  <si>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</si>
  <si>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</si>
  <si>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</si>
  <si>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</si>
  <si>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</si>
  <si>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</si>
  <si>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</si>
  <si>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</si>
  <si>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</si>
  <si>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</si>
  <si>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</si>
  <si>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</si>
  <si>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</si>
  <si>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</si>
  <si>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</si>
  <si>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</si>
  <si>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</si>
  <si>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</si>
  <si>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</si>
  <si>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</si>
  <si>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</si>
  <si>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</si>
  <si>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</si>
  <si>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</si>
  <si>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</si>
  <si>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</si>
  <si>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</si>
  <si>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</si>
  <si>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</si>
  <si>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</si>
  <si>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</si>
  <si>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</si>
  <si>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</si>
  <si>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</si>
  <si>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</si>
  <si>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</si>
  <si>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</si>
  <si>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</si>
  <si>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</si>
  <si>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</si>
  <si>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</si>
  <si>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</si>
  <si>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</si>
  <si>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</si>
  <si>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</si>
  <si>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</si>
  <si>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</si>
  <si>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</si>
  <si>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</si>
  <si>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</si>
  <si>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</si>
  <si>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</si>
  <si>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</si>
  <si>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</si>
  <si>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</si>
  <si>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</si>
  <si>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</si>
  <si>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</si>
  <si>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</si>
  <si>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</si>
  <si>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</si>
  <si>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</si>
  <si>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</si>
  <si>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</si>
  <si>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</si>
  <si>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</si>
  <si>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</si>
  <si>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</si>
  <si>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</si>
  <si>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</si>
  <si>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</si>
  <si>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</si>
  <si>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</si>
  <si>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</si>
  <si>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</si>
  <si>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</si>
  <si>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</si>
  <si>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</si>
  <si>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</si>
  <si>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</si>
  <si>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</si>
  <si>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</si>
  <si>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</si>
  <si>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</si>
  <si>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</si>
  <si>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</si>
  <si>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</si>
  <si>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</si>
  <si>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</si>
  <si>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</si>
  <si>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</si>
  <si>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</si>
  <si>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</si>
  <si>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</si>
  <si>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</si>
  <si>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</si>
  <si>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</si>
  <si>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</si>
  <si>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</si>
  <si>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</si>
  <si>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</si>
  <si>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</si>
  <si>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</si>
  <si>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</si>
  <si>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</si>
  <si>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</si>
  <si>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</si>
  <si>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</si>
  <si>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</si>
  <si>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</si>
  <si>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</si>
  <si>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</si>
  <si>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</si>
  <si>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</si>
  <si>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</si>
  <si>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</si>
  <si>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</si>
  <si>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</si>
  <si>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</si>
  <si>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</si>
  <si>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</si>
  <si>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</si>
  <si>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</si>
  <si>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</si>
  <si>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</si>
  <si>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</si>
  <si>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</si>
  <si>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</si>
  <si>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</si>
  <si>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</si>
  <si>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</si>
  <si>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</si>
  <si>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</si>
  <si>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</si>
  <si>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</si>
  <si>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</si>
  <si>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</si>
  <si>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</si>
  <si>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</si>
  <si>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</si>
  <si>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</si>
  <si>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</si>
  <si>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</si>
  <si>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</si>
  <si>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</si>
  <si>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</si>
  <si>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</si>
  <si>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</si>
  <si>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</si>
  <si>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</si>
  <si>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</si>
  <si>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</si>
  <si>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</si>
  <si>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</si>
  <si>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</si>
  <si>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</si>
  <si>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</si>
  <si>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</si>
  <si>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</si>
  <si>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</si>
  <si>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</si>
  <si>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</si>
  <si>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</si>
  <si>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</si>
  <si>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</si>
  <si>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</si>
  <si>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</si>
  <si>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</si>
  <si>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</si>
  <si>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</si>
  <si>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</si>
  <si>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</si>
  <si>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</si>
  <si>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</si>
  <si>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</si>
  <si>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</si>
  <si>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</si>
  <si>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</si>
  <si>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</si>
  <si>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</si>
  <si>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</si>
  <si>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</si>
  <si>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</si>
  <si>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</si>
  <si>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</si>
  <si>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</si>
  <si>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</si>
  <si>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</si>
  <si>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</si>
  <si>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</si>
  <si>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</si>
  <si>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</si>
  <si>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</si>
  <si>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</si>
  <si>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</si>
  <si>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</si>
  <si>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</si>
  <si>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</si>
  <si>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</si>
  <si>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</si>
  <si>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</si>
  <si>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</si>
  <si>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</si>
  <si>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</si>
  <si>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</si>
  <si>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</si>
  <si>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</si>
  <si>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</si>
  <si>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</si>
  <si>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</si>
  <si>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</si>
  <si>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</si>
  <si>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</si>
  <si>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</si>
  <si>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</si>
  <si>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</si>
  <si>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</si>
  <si>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</si>
  <si>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</si>
  <si>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</si>
  <si>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</si>
  <si>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</si>
  <si>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</si>
  <si>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</si>
  <si>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</si>
  <si>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</si>
  <si>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</si>
  <si>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</si>
  <si>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</si>
  <si>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</si>
  <si>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</si>
  <si>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</si>
  <si>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</si>
  <si>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</si>
  <si>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</si>
  <si>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</si>
  <si>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</si>
  <si>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</si>
  <si>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</si>
  <si>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</si>
  <si>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</si>
  <si>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</si>
  <si>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</si>
  <si>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</si>
  <si>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</si>
  <si>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</si>
  <si>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</si>
  <si>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</si>
  <si>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</si>
  <si>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</si>
  <si>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</si>
  <si>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</si>
  <si>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</si>
  <si>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</si>
  <si>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</si>
  <si>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</si>
  <si>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</si>
  <si>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</si>
  <si>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</si>
  <si>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</si>
  <si>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</si>
  <si>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</si>
  <si>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</si>
  <si>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</si>
  <si>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</si>
  <si>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</si>
  <si>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</si>
  <si>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</si>
  <si>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</si>
  <si>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</si>
  <si>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</si>
  <si>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</si>
  <si>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</si>
  <si>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</si>
  <si>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</si>
  <si>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</si>
  <si>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</si>
  <si>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</si>
  <si>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</si>
  <si>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</si>
  <si>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</si>
  <si>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</si>
  <si>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</si>
  <si>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</si>
  <si>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</si>
  <si>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</si>
  <si>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</si>
  <si>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</si>
  <si>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</si>
  <si>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</si>
  <si>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</si>
  <si>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</si>
  <si>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</si>
  <si>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</si>
  <si>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</si>
  <si>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</si>
  <si>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</si>
  <si>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</si>
  <si>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</si>
  <si>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</si>
  <si>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</si>
  <si>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</si>
  <si>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</si>
  <si>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</si>
  <si>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</si>
  <si>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</si>
  <si>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</si>
  <si>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</si>
  <si>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</si>
  <si>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</si>
  <si>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</si>
  <si>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</si>
  <si>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</si>
  <si>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</si>
  <si>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</si>
  <si>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</si>
  <si>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</si>
  <si>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</si>
  <si>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</si>
  <si>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</si>
  <si>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</si>
  <si>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</si>
  <si>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</si>
  <si>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</si>
  <si>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</si>
  <si>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</si>
  <si>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</si>
  <si>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</si>
  <si>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</si>
  <si>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</si>
  <si>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</si>
  <si>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</si>
  <si>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</si>
  <si>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</si>
  <si>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</si>
  <si>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</si>
  <si>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</si>
  <si>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</si>
  <si>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</si>
  <si>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</si>
  <si>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</si>
  <si>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</si>
  <si>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</si>
  <si>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</si>
  <si>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</si>
  <si>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</si>
  <si>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</si>
  <si>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</si>
  <si>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</si>
  <si>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</si>
  <si>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</si>
  <si>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</si>
  <si>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</si>
  <si>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</si>
  <si>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</si>
  <si>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</si>
  <si>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</si>
  <si>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</si>
  <si>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</si>
  <si>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</si>
  <si>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</si>
  <si>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</si>
  <si>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</si>
  <si>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</si>
  <si>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</si>
  <si>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</si>
  <si>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</si>
  <si>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</si>
  <si>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</si>
  <si>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</si>
  <si>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</si>
  <si>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</si>
  <si>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</si>
  <si>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</si>
  <si>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</si>
  <si>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</si>
  <si>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</si>
  <si>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</si>
  <si>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</si>
  <si>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</si>
  <si>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</si>
  <si>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</si>
  <si>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</si>
  <si>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</si>
  <si>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</si>
  <si>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</si>
  <si>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</si>
  <si>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</si>
  <si>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</si>
  <si>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</si>
  <si>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</si>
  <si>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</si>
  <si>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</si>
  <si>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</si>
  <si>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</si>
  <si>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</si>
  <si>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</si>
  <si>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</si>
  <si>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</si>
  <si>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</si>
  <si>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</si>
  <si>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</si>
  <si>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</si>
  <si>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</si>
  <si>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</si>
  <si>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</si>
  <si>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</si>
  <si>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</si>
  <si>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</si>
  <si>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</si>
  <si>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</si>
  <si>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</si>
  <si>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</si>
  <si>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</si>
  <si>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</si>
  <si>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</si>
  <si>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</si>
  <si>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</si>
  <si>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</si>
  <si>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</si>
  <si>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</si>
  <si>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</si>
  <si>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</si>
  <si>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</si>
  <si>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</si>
  <si>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</si>
  <si>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</si>
  <si>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</si>
  <si>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</si>
  <si>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</si>
  <si>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</si>
  <si>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</si>
  <si>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</si>
  <si>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</si>
  <si>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</si>
  <si>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</si>
  <si>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</si>
  <si>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</si>
  <si>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</si>
  <si>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</si>
  <si>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</si>
  <si>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</si>
  <si>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</si>
  <si>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</si>
  <si>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</si>
  <si>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</si>
  <si>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</si>
  <si>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</si>
  <si>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</si>
  <si>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</si>
  <si>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</si>
  <si>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</si>
  <si>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</si>
  <si>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</si>
  <si>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</si>
  <si>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</si>
  <si>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</si>
  <si>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</si>
  <si>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</si>
  <si>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</si>
  <si>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</si>
  <si>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</si>
  <si>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</si>
  <si>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</si>
  <si>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</si>
  <si>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</si>
  <si>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</si>
  <si>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</si>
  <si>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</si>
  <si>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</si>
  <si>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</si>
  <si>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</si>
  <si>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</si>
  <si>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</si>
  <si>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</si>
  <si>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</si>
  <si>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</si>
  <si>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</si>
  <si>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</si>
  <si>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</si>
  <si>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</si>
  <si>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</si>
  <si>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</si>
  <si>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</si>
  <si>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</si>
  <si>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</si>
  <si>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</si>
  <si>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</si>
  <si>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</si>
  <si>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</si>
  <si>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</si>
  <si>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</si>
  <si>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</si>
  <si>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</si>
  <si>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</si>
  <si>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</si>
  <si>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</si>
  <si>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</si>
  <si>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</si>
  <si>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</si>
  <si>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</si>
  <si>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</si>
  <si>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</si>
  <si>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</si>
  <si>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</si>
  <si>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</si>
  <si>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</si>
  <si>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</si>
  <si>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</si>
  <si>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</si>
  <si>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</si>
  <si>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</si>
  <si>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</si>
  <si>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</si>
  <si>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</si>
  <si>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</si>
  <si>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</si>
  <si>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</si>
  <si>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</si>
  <si>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</si>
  <si>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</si>
  <si>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</si>
  <si>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</si>
  <si>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</si>
  <si>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</si>
  <si>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</si>
  <si>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</si>
  <si>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</si>
  <si>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</si>
  <si>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</si>
  <si>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</si>
  <si>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</si>
  <si>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</si>
  <si>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</si>
  <si>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</si>
  <si>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</si>
  <si>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</si>
  <si>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</si>
  <si>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</si>
  <si>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</si>
  <si>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</si>
  <si>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</si>
  <si>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</si>
  <si>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</si>
  <si>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</si>
  <si>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</si>
  <si>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</si>
  <si>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</si>
  <si>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</si>
  <si>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</si>
  <si>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</si>
  <si>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</si>
  <si>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</si>
  <si>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</si>
  <si>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</si>
  <si>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</si>
  <si>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</si>
  <si>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</si>
  <si>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</si>
  <si>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</si>
  <si>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</si>
  <si>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</si>
  <si>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</si>
  <si>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</si>
  <si>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</si>
  <si>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</si>
  <si>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</si>
  <si>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</si>
  <si>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</si>
  <si>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</si>
  <si>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</si>
  <si>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</si>
  <si>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</si>
  <si>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</si>
  <si>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</si>
  <si>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</si>
  <si>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</si>
  <si>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</si>
  <si>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</si>
  <si>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</si>
  <si>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</si>
  <si>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</si>
  <si>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</si>
  <si>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</si>
  <si>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</si>
  <si>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</si>
  <si>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</si>
  <si>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</si>
  <si>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</si>
  <si>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</si>
  <si>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</si>
  <si>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</si>
  <si>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</si>
  <si>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</si>
  <si>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</si>
  <si>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</si>
  <si>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</si>
  <si>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</si>
  <si>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</si>
  <si>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</si>
  <si>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</si>
  <si>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</si>
  <si>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</si>
  <si>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</si>
  <si>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</si>
  <si>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</si>
  <si>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</si>
  <si>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</si>
  <si>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</si>
  <si>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</si>
  <si>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</si>
  <si>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</si>
  <si>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</si>
  <si>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</si>
  <si>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</si>
  <si>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</si>
  <si>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</si>
  <si>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</si>
  <si>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</si>
  <si>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</si>
  <si>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</si>
  <si>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</si>
  <si>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</si>
  <si>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</si>
  <si>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</si>
  <si>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</si>
  <si>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</si>
  <si>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</si>
  <si>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</si>
  <si>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</si>
  <si>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</si>
  <si>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</si>
  <si>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</si>
  <si>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</si>
  <si>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</si>
  <si>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</si>
  <si>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</si>
  <si>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</si>
  <si>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</si>
  <si>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</si>
  <si>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</si>
  <si>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</si>
  <si>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</si>
  <si>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</si>
  <si>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</si>
  <si>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</si>
  <si>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</si>
  <si>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</si>
  <si>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</si>
  <si>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</si>
  <si>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</si>
  <si>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</si>
  <si>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</si>
  <si>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</si>
  <si>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</si>
  <si>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</si>
  <si>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</si>
  <si>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</si>
  <si>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</si>
  <si>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</si>
  <si>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</si>
  <si>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</si>
  <si>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</si>
  <si>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</si>
  <si>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</si>
  <si>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</si>
  <si>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</si>
  <si>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</si>
  <si>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</si>
  <si>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</si>
  <si>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</si>
  <si>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</si>
  <si>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</si>
  <si>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</si>
  <si>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</si>
  <si>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</si>
  <si>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</si>
  <si>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</si>
  <si>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</si>
  <si>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</si>
  <si>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</si>
  <si>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</si>
  <si>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</si>
  <si>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</si>
  <si>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</si>
  <si>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</si>
  <si>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</si>
  <si>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</si>
  <si>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</si>
  <si>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</si>
  <si>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</si>
  <si>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</si>
  <si>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</si>
  <si>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</si>
  <si>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</si>
  <si>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</si>
  <si>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</si>
  <si>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</si>
  <si>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</si>
  <si>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</si>
  <si>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</si>
  <si>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</si>
  <si>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</si>
  <si>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</si>
  <si>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</si>
  <si>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</si>
  <si>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</si>
  <si>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</si>
  <si>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</si>
  <si>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</si>
  <si>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</si>
  <si>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</si>
  <si>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</si>
  <si>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</si>
  <si>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</si>
  <si>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</si>
  <si>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</si>
  <si>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</si>
  <si>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</si>
  <si>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</si>
  <si>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</si>
  <si>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</si>
  <si>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</si>
  <si>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</si>
  <si>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</si>
  <si>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</si>
  <si>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</si>
  <si>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</si>
  <si>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</si>
  <si>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</si>
  <si>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</si>
  <si>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</si>
  <si>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</si>
  <si>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</si>
  <si>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</si>
  <si>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</si>
  <si>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</si>
  <si>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</si>
  <si>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</si>
  <si>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</si>
  <si>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</si>
  <si>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</si>
  <si>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</si>
  <si>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</si>
  <si>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</si>
  <si>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</si>
  <si>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</si>
  <si>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</si>
  <si>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</si>
  <si>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</si>
  <si>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</si>
  <si>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</si>
  <si>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</si>
  <si>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</si>
  <si>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</si>
  <si>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</si>
  <si>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</si>
  <si>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</si>
  <si>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</si>
  <si>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</si>
  <si>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</si>
  <si>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</si>
  <si>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</si>
  <si>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</si>
  <si>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</si>
  <si>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</si>
  <si>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</si>
  <si>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</si>
  <si>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</si>
  <si>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</si>
  <si>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</si>
  <si>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</si>
  <si>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</si>
  <si>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</si>
  <si>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</si>
  <si>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</si>
  <si>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</si>
  <si>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</si>
  <si>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</si>
  <si>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</si>
  <si>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</si>
  <si>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</si>
  <si>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</si>
  <si>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</si>
  <si>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</si>
  <si>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</si>
  <si>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</si>
  <si>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</si>
  <si>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</si>
  <si>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</si>
  <si>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</si>
  <si>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</si>
  <si>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</si>
  <si>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</si>
  <si>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</si>
  <si>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</si>
  <si>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</si>
  <si>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</si>
  <si>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</si>
  <si>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</si>
  <si>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</si>
  <si>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</si>
  <si>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</si>
  <si>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</si>
  <si>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</si>
  <si>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</si>
  <si>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</si>
  <si>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</si>
  <si>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</si>
  <si>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</si>
  <si>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</si>
  <si>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</si>
  <si>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</si>
  <si>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</si>
  <si>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</si>
  <si>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</si>
  <si>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</si>
  <si>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</si>
  <si>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</si>
  <si>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</si>
  <si>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</si>
  <si>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</si>
  <si>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</si>
  <si>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</si>
  <si>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</si>
  <si>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</si>
  <si>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</si>
  <si>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</si>
  <si>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</si>
  <si>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</si>
  <si>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</si>
  <si>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</si>
  <si>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</si>
  <si>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</si>
  <si>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</si>
  <si>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</si>
  <si>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</si>
  <si>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</si>
  <si>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</si>
  <si>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</si>
  <si>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</si>
  <si>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</si>
  <si>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</si>
  <si>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</si>
  <si>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</si>
  <si>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</si>
  <si>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</si>
  <si>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</si>
  <si>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</si>
  <si>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</si>
  <si>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</si>
  <si>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</si>
  <si>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</si>
  <si>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</si>
  <si>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</si>
  <si>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</si>
  <si>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</si>
  <si>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</si>
  <si>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</si>
  <si>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</si>
  <si>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</si>
  <si>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</si>
  <si>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</si>
  <si>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</si>
  <si>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</si>
  <si>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</si>
  <si>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</si>
  <si>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</si>
  <si>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</si>
  <si>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</si>
  <si>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</si>
  <si>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</si>
  <si>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</si>
  <si>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</si>
  <si>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</si>
  <si>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</si>
  <si>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</si>
  <si>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</si>
  <si>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</si>
  <si>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</si>
  <si>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</si>
  <si>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</si>
  <si>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</si>
  <si>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</si>
  <si>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</si>
  <si>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</si>
  <si>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</si>
  <si>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</si>
  <si>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</si>
  <si>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</si>
  <si>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</si>
  <si>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</si>
  <si>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</si>
  <si>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</si>
  <si>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</si>
  <si>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</si>
  <si>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</si>
  <si>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</si>
  <si>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</si>
  <si>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</si>
  <si>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</si>
  <si>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</si>
  <si>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</si>
  <si>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</si>
  <si>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</si>
  <si>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</si>
  <si>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</si>
  <si>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</si>
  <si>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</si>
  <si>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</si>
  <si>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</si>
  <si>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</si>
  <si>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</si>
  <si>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</si>
  <si>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</si>
  <si>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</si>
  <si>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</si>
  <si>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</si>
  <si>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</si>
  <si>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</si>
  <si>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</si>
  <si>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</si>
  <si>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</si>
  <si>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</si>
  <si>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</si>
  <si>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</si>
  <si>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</si>
  <si>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</si>
  <si>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</si>
  <si>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</si>
  <si>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</si>
  <si>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</si>
  <si>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</si>
  <si>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</si>
  <si>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</si>
  <si>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</si>
  <si>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</si>
  <si>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</si>
  <si>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</si>
  <si>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</si>
  <si>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</si>
  <si>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</si>
  <si>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</si>
  <si>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</si>
  <si>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</si>
  <si>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</si>
  <si>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</si>
  <si>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</si>
  <si>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</si>
  <si>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</si>
  <si>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</si>
  <si>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</si>
  <si>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</si>
  <si>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</si>
  <si>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</si>
  <si>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</si>
  <si>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</si>
  <si>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</si>
  <si>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</si>
  <si>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</si>
  <si>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</si>
  <si>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</si>
  <si>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</si>
  <si>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</si>
  <si>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</si>
  <si>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</si>
  <si>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</si>
  <si>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</si>
  <si>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</si>
  <si>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</si>
  <si>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</si>
  <si>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</si>
  <si>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</si>
  <si>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</si>
  <si>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</si>
  <si>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</si>
  <si>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</si>
  <si>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</si>
  <si>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</si>
  <si>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</si>
  <si>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</si>
  <si>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</si>
  <si>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</si>
  <si>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</si>
  <si>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</si>
  <si>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</si>
  <si>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</si>
  <si>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</si>
  <si>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</si>
  <si>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</si>
  <si>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</si>
  <si>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</si>
  <si>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</si>
  <si>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</si>
  <si>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</si>
  <si>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</si>
  <si>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</si>
  <si>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</si>
  <si>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</si>
  <si>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</si>
  <si>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</si>
  <si>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</si>
  <si>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</si>
  <si>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</si>
  <si>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</si>
  <si>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</si>
  <si>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</si>
  <si>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</si>
  <si>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</si>
  <si>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</si>
  <si>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</si>
  <si>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</si>
  <si>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</si>
  <si>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</si>
  <si>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</si>
  <si>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</si>
  <si>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</si>
  <si>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</si>
  <si>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</si>
  <si>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</si>
  <si>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</si>
  <si>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</si>
  <si>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</si>
  <si>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</si>
  <si>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</si>
  <si>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</si>
  <si>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</si>
  <si>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</si>
  <si>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</si>
  <si>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</si>
  <si>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</si>
  <si>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</si>
  <si>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</si>
  <si>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</si>
  <si>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</si>
  <si>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</si>
  <si>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</si>
  <si>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</si>
  <si>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</si>
  <si>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</si>
  <si>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</si>
  <si>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</si>
  <si>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</si>
  <si>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</si>
  <si>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</si>
  <si>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</si>
  <si>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</si>
  <si>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</si>
  <si>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</si>
  <si>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</si>
  <si>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</si>
  <si>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</si>
  <si>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</si>
  <si>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</si>
  <si>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</si>
  <si>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</si>
  <si>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</si>
  <si>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</si>
  <si>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</si>
  <si>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</si>
  <si>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</si>
  <si>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</si>
  <si>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</si>
  <si>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</si>
  <si>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</si>
  <si>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</si>
  <si>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</si>
  <si>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</si>
  <si>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</si>
  <si>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</si>
  <si>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</si>
  <si>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</si>
  <si>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</si>
  <si>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</si>
  <si>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</si>
  <si>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</si>
  <si>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</si>
  <si>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</si>
  <si>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</si>
  <si>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</si>
  <si>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</si>
  <si>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</si>
  <si>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</si>
  <si>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</si>
  <si>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</si>
  <si>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</si>
  <si>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</si>
  <si>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</si>
  <si>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</si>
  <si>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</si>
  <si>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</si>
  <si>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</si>
  <si>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</si>
  <si>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</si>
  <si>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</si>
  <si>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</si>
  <si>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</si>
  <si>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</si>
  <si>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</si>
  <si>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</si>
  <si>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</si>
  <si>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</si>
  <si>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</si>
  <si>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</si>
  <si>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</si>
  <si>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</si>
  <si>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</si>
  <si>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</si>
  <si>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</si>
  <si>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</si>
  <si>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</si>
  <si>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</si>
  <si>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</si>
  <si>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</si>
  <si>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</si>
  <si>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</si>
  <si>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</si>
  <si>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</si>
  <si>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</si>
  <si>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</si>
  <si>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</si>
  <si>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</si>
  <si>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</si>
  <si>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</si>
  <si>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</si>
  <si>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</si>
  <si>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</si>
  <si>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</si>
  <si>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</si>
  <si>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</si>
  <si>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</si>
  <si>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</si>
  <si>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</si>
  <si>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</si>
  <si>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</si>
  <si>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</si>
  <si>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</si>
  <si>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</si>
  <si>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</si>
  <si>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</si>
  <si>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</si>
  <si>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</si>
  <si>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</si>
  <si>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</si>
  <si>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</si>
  <si>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</si>
  <si>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</si>
  <si>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</si>
  <si>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</si>
  <si>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</si>
  <si>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</si>
  <si>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</si>
  <si>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</si>
  <si>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</si>
  <si>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</si>
  <si>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</si>
  <si>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</si>
  <si>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</si>
  <si>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</si>
  <si>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</si>
  <si>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</si>
  <si>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</si>
  <si>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</si>
  <si>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</si>
  <si>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</si>
  <si>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</si>
  <si>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</si>
  <si>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</si>
  <si>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</si>
  <si>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</si>
  <si>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</si>
  <si>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</si>
  <si>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</si>
  <si>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</si>
  <si>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</si>
  <si>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</si>
  <si>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</si>
  <si>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</si>
  <si>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</si>
  <si>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</si>
  <si>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</si>
  <si>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</si>
  <si>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</si>
  <si>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</si>
  <si>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</si>
  <si>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</si>
  <si>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</si>
  <si>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</si>
  <si>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</si>
  <si>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</si>
  <si>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</si>
  <si>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</si>
  <si>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</si>
  <si>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</si>
  <si>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</si>
  <si>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</si>
  <si>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</si>
  <si>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</si>
  <si>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</si>
  <si>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</si>
  <si>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</si>
  <si>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</si>
  <si>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</si>
  <si>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</si>
  <si>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</si>
  <si>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</si>
  <si>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</si>
  <si>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</si>
  <si>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</si>
  <si>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</si>
  <si>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</si>
  <si>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</si>
  <si>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</si>
  <si>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</si>
  <si>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</si>
  <si>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</si>
  <si>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</si>
  <si>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</si>
  <si>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</si>
  <si>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</si>
  <si>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</si>
  <si>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</si>
  <si>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</si>
  <si>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</si>
  <si>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</si>
  <si>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</si>
  <si>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</si>
  <si>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</si>
  <si>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</si>
  <si>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</si>
  <si>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</si>
  <si>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</si>
  <si>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</si>
  <si>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</si>
  <si>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</si>
  <si>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</si>
  <si>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</si>
  <si>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</si>
  <si>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</si>
  <si>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</si>
  <si>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</si>
  <si>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</si>
  <si>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</si>
  <si>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</si>
  <si>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</si>
  <si>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</si>
  <si>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</si>
  <si>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</si>
  <si>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</si>
  <si>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</si>
  <si>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</si>
  <si>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</si>
  <si>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</si>
  <si>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</si>
  <si>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</si>
  <si>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</si>
  <si>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</si>
  <si>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</si>
  <si>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</si>
  <si>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</si>
  <si>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</si>
  <si>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</si>
  <si>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</si>
  <si>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</si>
  <si>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</si>
  <si>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</si>
  <si>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</si>
  <si>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</si>
  <si>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</si>
  <si>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</si>
  <si>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</si>
  <si>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</si>
  <si>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</si>
  <si>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</si>
  <si>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</si>
  <si>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</si>
  <si>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</si>
  <si>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</si>
  <si>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</si>
  <si>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</si>
  <si>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</si>
  <si>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</si>
  <si>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</si>
  <si>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</si>
  <si>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</si>
  <si>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</si>
  <si>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</si>
  <si>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</si>
  <si>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</si>
  <si>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</si>
  <si>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</si>
  <si>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</si>
  <si>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</si>
  <si>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</si>
  <si>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</si>
  <si>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</si>
  <si>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</si>
  <si>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</si>
  <si>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</si>
  <si>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</si>
  <si>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</si>
  <si>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</si>
  <si>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</si>
  <si>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</si>
  <si>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</si>
  <si>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</si>
  <si>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</si>
  <si>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</si>
  <si>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</si>
  <si>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</si>
  <si>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</si>
  <si>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</si>
  <si>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</si>
  <si>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</si>
  <si>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</si>
  <si>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</si>
  <si>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</si>
  <si>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</si>
  <si>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</si>
  <si>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</si>
  <si>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</si>
  <si>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</si>
  <si>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</si>
  <si>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</si>
  <si>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</si>
  <si>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</si>
  <si>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</si>
  <si>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</si>
  <si>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</si>
  <si>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</si>
  <si>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</si>
  <si>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</si>
  <si>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</si>
  <si>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</si>
  <si>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</si>
  <si>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</si>
  <si>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</si>
  <si>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</si>
  <si>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</si>
  <si>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</si>
  <si>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</si>
  <si>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</si>
  <si>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</si>
  <si>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</si>
  <si>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</si>
  <si>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</si>
  <si>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</si>
  <si>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</si>
  <si>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</si>
  <si>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</si>
  <si>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</si>
  <si>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</si>
  <si>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</si>
  <si>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</si>
  <si>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</si>
  <si>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</si>
  <si>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</si>
  <si>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</si>
  <si>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</si>
  <si>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</si>
  <si>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</si>
  <si>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</si>
  <si>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</si>
  <si>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</si>
  <si>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</si>
  <si>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</si>
  <si>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</si>
  <si>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</si>
  <si>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</si>
  <si>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</si>
  <si>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</si>
  <si>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</si>
  <si>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</si>
  <si>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</si>
  <si>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</si>
  <si>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</si>
  <si>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</si>
  <si>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</si>
  <si>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</si>
  <si>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</si>
  <si>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</si>
  <si>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</si>
  <si>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</si>
  <si>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</si>
  <si>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</si>
  <si>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</si>
  <si>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</si>
  <si>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</si>
  <si>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</si>
  <si>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</si>
  <si>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</si>
  <si>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</si>
  <si>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</si>
  <si>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</si>
  <si>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</si>
  <si>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</si>
  <si>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</si>
  <si>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</si>
  <si>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</si>
  <si>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</si>
  <si>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</si>
  <si>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</si>
  <si>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</si>
  <si>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</si>
  <si>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</si>
  <si>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</si>
  <si>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</si>
  <si>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</si>
  <si>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</si>
  <si>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</si>
  <si>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</si>
  <si>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</si>
  <si>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</si>
  <si>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</si>
  <si>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</si>
  <si>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</si>
  <si>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</si>
  <si>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</si>
  <si>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</si>
  <si>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</si>
  <si>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</si>
  <si>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</si>
  <si>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</si>
  <si>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</si>
  <si>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</si>
  <si>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</si>
  <si>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</si>
  <si>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</si>
  <si>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</si>
  <si>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</si>
  <si>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</si>
  <si>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</si>
  <si>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</si>
  <si>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</si>
  <si>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</si>
  <si>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</si>
  <si>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</si>
  <si>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</si>
  <si>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</si>
  <si>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</si>
  <si>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</si>
  <si>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</si>
  <si>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</si>
  <si>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</si>
  <si>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</si>
  <si>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</si>
  <si>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</si>
  <si>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</si>
  <si>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</si>
  <si>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</si>
  <si>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</si>
  <si>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</si>
  <si>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</si>
  <si>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</si>
  <si>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</si>
  <si>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</si>
  <si>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</si>
  <si>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</si>
  <si>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</si>
  <si>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</si>
  <si>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</si>
  <si>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</si>
  <si>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</si>
  <si>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</si>
  <si>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</si>
  <si>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</si>
  <si>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</si>
  <si>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</si>
  <si>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</si>
  <si>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</si>
  <si>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</si>
  <si>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</si>
  <si>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</si>
  <si>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</si>
  <si>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</si>
  <si>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</si>
  <si>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</si>
  <si>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</si>
  <si>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</si>
  <si>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</si>
  <si>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</si>
  <si>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</si>
  <si>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</si>
  <si>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</si>
  <si>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</si>
  <si>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</si>
  <si>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</si>
  <si>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</si>
  <si>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</si>
  <si>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</si>
  <si>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</si>
  <si>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</si>
  <si>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</si>
  <si>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</si>
  <si>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</si>
  <si>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</si>
  <si>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</si>
  <si>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</si>
  <si>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</si>
  <si>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</si>
  <si>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</si>
  <si>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</si>
  <si>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</si>
  <si>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</si>
  <si>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</si>
  <si>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</si>
  <si>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</si>
  <si>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</si>
  <si>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</si>
  <si>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</si>
  <si>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</si>
  <si>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</si>
  <si>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</si>
  <si>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</si>
  <si>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</si>
  <si>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</si>
  <si>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</si>
  <si>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</si>
  <si>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</si>
  <si>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</si>
  <si>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</si>
  <si>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</si>
  <si>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</si>
  <si>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</si>
  <si>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</si>
  <si>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</si>
  <si>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</si>
  <si>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</si>
  <si>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</si>
  <si>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</si>
  <si>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</si>
  <si>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</si>
  <si>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</si>
  <si>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</si>
  <si>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</si>
  <si>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</si>
  <si>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</si>
  <si>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</si>
  <si>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</si>
  <si>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</si>
  <si>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</si>
  <si>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</si>
  <si>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</si>
  <si>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</si>
  <si>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</si>
  <si>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</si>
  <si>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</si>
  <si>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</si>
  <si>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</si>
  <si>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</si>
  <si>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</si>
  <si>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</si>
  <si>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</si>
  <si>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</si>
  <si>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</si>
  <si>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</si>
  <si>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</si>
  <si>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</si>
  <si>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</si>
  <si>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</si>
  <si>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</si>
  <si>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</si>
  <si>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</si>
  <si>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</si>
  <si>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</si>
  <si>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</si>
  <si>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</si>
  <si>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</si>
  <si>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</si>
  <si>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</si>
  <si>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</si>
  <si>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</si>
  <si>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</si>
  <si>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</si>
  <si>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</si>
  <si>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</si>
  <si>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</si>
  <si>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</si>
  <si>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</si>
  <si>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</si>
  <si>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</si>
  <si>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</si>
  <si>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</si>
  <si>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</si>
  <si>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</si>
  <si>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</si>
  <si>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</si>
  <si>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</si>
  <si>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</si>
  <si>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</si>
  <si>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</si>
  <si>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</si>
  <si>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</si>
  <si>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</si>
  <si>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</si>
  <si>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</si>
  <si>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</si>
  <si>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</si>
  <si>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</si>
  <si>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</si>
  <si>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</si>
  <si>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</si>
  <si>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</si>
  <si>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</si>
  <si>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</si>
  <si>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</si>
  <si>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</si>
  <si>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</si>
  <si>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</si>
  <si>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</si>
  <si>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</si>
  <si>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</si>
  <si>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</si>
  <si>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</si>
  <si>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</si>
  <si>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</si>
  <si>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</si>
  <si>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</si>
  <si>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</si>
  <si>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</si>
  <si>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</si>
  <si>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</si>
  <si>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</si>
  <si>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</si>
  <si>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</si>
  <si>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</si>
  <si>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</si>
  <si>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</si>
  <si>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</si>
  <si>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</si>
  <si>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</si>
  <si>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</si>
  <si>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</si>
  <si>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</si>
  <si>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</si>
  <si>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</si>
  <si>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</si>
  <si>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</si>
  <si>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</si>
  <si>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</si>
  <si>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</si>
  <si>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</si>
  <si>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</si>
  <si>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</si>
  <si>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</si>
  <si>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</si>
  <si>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</si>
  <si>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</si>
  <si>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</si>
  <si>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</si>
  <si>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</si>
  <si>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</si>
  <si>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</si>
  <si>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</si>
  <si>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</si>
  <si>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</si>
  <si>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</si>
  <si>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</si>
  <si>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</si>
  <si>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</si>
  <si>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</si>
  <si>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</si>
  <si>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</si>
  <si>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</si>
  <si>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</si>
  <si>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</si>
  <si>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</si>
  <si>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</si>
  <si>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</si>
  <si>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</si>
  <si>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</si>
  <si>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</si>
  <si>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</si>
  <si>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</si>
  <si>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</si>
  <si>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</si>
  <si>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</si>
  <si>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</si>
  <si>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</si>
  <si>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</si>
  <si>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</si>
  <si>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</si>
  <si>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</si>
  <si>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</si>
  <si>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</si>
  <si>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</si>
  <si>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</si>
  <si>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</si>
  <si>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</si>
  <si>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</si>
  <si>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</si>
  <si>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</si>
  <si>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</si>
  <si>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</si>
  <si>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</si>
  <si>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</si>
  <si>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</si>
  <si>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</si>
  <si>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</si>
  <si>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</si>
  <si>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</si>
  <si>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</si>
  <si>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</si>
  <si>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</si>
  <si>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</si>
  <si>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</si>
  <si>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</si>
  <si>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</si>
  <si>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</si>
  <si>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</si>
  <si>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</si>
  <si>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</si>
  <si>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</si>
  <si>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</si>
  <si>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</si>
  <si>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</si>
  <si>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</si>
  <si>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</si>
  <si>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</si>
  <si>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</si>
  <si>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</si>
  <si>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</si>
  <si>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</si>
  <si>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</si>
  <si>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</si>
  <si>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</si>
  <si>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</si>
  <si>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</si>
  <si>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</si>
  <si>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</si>
  <si>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</si>
  <si>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</si>
  <si>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</si>
  <si>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</si>
  <si>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</si>
  <si>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</si>
  <si>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</si>
  <si>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</si>
  <si>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</si>
  <si>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</si>
  <si>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</si>
  <si>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</si>
  <si>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</si>
  <si>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</si>
  <si>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</si>
  <si>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</si>
  <si>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</si>
  <si>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</si>
  <si>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</si>
  <si>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</si>
  <si>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</si>
  <si>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</si>
  <si>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</si>
  <si>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</si>
  <si>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</si>
  <si>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</si>
  <si>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</si>
  <si>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</si>
  <si>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</si>
  <si>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</si>
  <si>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</si>
  <si>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</si>
  <si>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</si>
  <si>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</si>
  <si>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</si>
  <si>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</si>
  <si>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</si>
  <si>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</si>
  <si>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</si>
  <si>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</si>
  <si>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</si>
  <si>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</si>
  <si>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</si>
  <si>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</si>
  <si>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</si>
  <si>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</si>
  <si>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</si>
  <si>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</si>
  <si>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</si>
  <si>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</si>
  <si>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</si>
  <si>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</si>
  <si>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</si>
  <si>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</si>
  <si>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</si>
  <si>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</si>
  <si>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</si>
  <si>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</si>
  <si>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</si>
  <si>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</si>
  <si>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</si>
  <si>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</si>
  <si>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</si>
  <si>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</si>
  <si>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</si>
  <si>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</si>
  <si>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</si>
  <si>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</si>
  <si>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</si>
  <si>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</si>
  <si>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</si>
  <si>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</si>
  <si>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</si>
  <si>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</si>
  <si>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</si>
  <si>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</si>
  <si>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</si>
  <si>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</si>
  <si>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</si>
  <si>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</si>
  <si>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</si>
  <si>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</si>
  <si>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</si>
  <si>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</si>
  <si>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</si>
  <si>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</si>
  <si>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</si>
  <si>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</si>
  <si>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</si>
  <si>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</si>
  <si>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</si>
  <si>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</si>
  <si>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</si>
  <si>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</si>
  <si>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</si>
  <si>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</si>
  <si>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</si>
  <si>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</si>
  <si>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</si>
  <si>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</si>
  <si>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</si>
  <si>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</si>
  <si>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</si>
  <si>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</si>
  <si>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</si>
  <si>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</si>
  <si>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</si>
  <si>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</si>
  <si>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</si>
  <si>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</si>
  <si>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</si>
  <si>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</si>
  <si>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</si>
  <si>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</si>
  <si>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</si>
  <si>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</si>
  <si>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</si>
  <si>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</si>
  <si>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</si>
  <si>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</si>
  <si>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</si>
  <si>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</si>
  <si>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</si>
  <si>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</si>
  <si>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</si>
  <si>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</si>
  <si>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</si>
  <si>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</si>
  <si>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</si>
  <si>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</si>
  <si>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</si>
  <si>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</si>
  <si>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</si>
  <si>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</si>
  <si>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</si>
  <si>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</si>
  <si>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</si>
  <si>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</si>
  <si>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</si>
  <si>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</si>
  <si>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</si>
  <si>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</si>
  <si>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</si>
  <si>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</si>
  <si>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</si>
  <si>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</si>
  <si>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</si>
  <si>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</si>
  <si>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</si>
  <si>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</si>
  <si>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</si>
  <si>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</si>
  <si>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</si>
  <si>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</si>
  <si>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</si>
  <si>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</si>
  <si>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</si>
  <si>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</si>
  <si>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</si>
  <si>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</si>
  <si>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</si>
  <si>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</si>
  <si>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</si>
  <si>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</si>
  <si>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</si>
  <si>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</si>
  <si>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</si>
  <si>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</si>
  <si>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</si>
  <si>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</si>
  <si>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</si>
  <si>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</si>
  <si>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</si>
  <si>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</si>
  <si>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</si>
  <si>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</si>
  <si>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</si>
  <si>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</si>
  <si>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</si>
  <si>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</si>
  <si>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</si>
  <si>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</si>
  <si>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</si>
  <si>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</si>
  <si>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</si>
  <si>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</si>
  <si>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</si>
  <si>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</si>
  <si>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</si>
  <si>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</si>
  <si>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</si>
  <si>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</si>
  <si>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</si>
  <si>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</si>
  <si>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</si>
  <si>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</si>
  <si>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</si>
  <si>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</si>
  <si>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</si>
  <si>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</si>
  <si>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</si>
  <si>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</si>
  <si>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</si>
  <si>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</si>
  <si>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</si>
  <si>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</si>
  <si>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</si>
  <si>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</si>
  <si>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</si>
  <si>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</si>
  <si>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</si>
  <si>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</si>
  <si>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</si>
  <si>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</si>
  <si>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</si>
  <si>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</si>
  <si>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</si>
  <si>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</si>
  <si>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</si>
  <si>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</si>
  <si>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</si>
  <si>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</si>
  <si>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</si>
  <si>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</si>
  <si>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</si>
  <si>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</si>
  <si>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</si>
  <si>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</si>
  <si>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</si>
  <si>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</si>
  <si>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</si>
  <si>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</si>
  <si>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</si>
  <si>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</si>
  <si>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</si>
  <si>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</si>
  <si>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</si>
  <si>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</si>
  <si>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</si>
  <si>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</si>
  <si>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</si>
  <si>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</si>
  <si>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</si>
  <si>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</si>
  <si>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</si>
  <si>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</si>
  <si>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</si>
  <si>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</si>
  <si>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</si>
  <si>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</si>
  <si>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</si>
  <si>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</si>
  <si>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</si>
  <si>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</si>
  <si>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</si>
  <si>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</si>
  <si>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</si>
  <si>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</si>
  <si>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</si>
  <si>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</si>
  <si>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</si>
  <si>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</si>
  <si>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</si>
  <si>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</si>
  <si>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</si>
  <si>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</si>
  <si>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</si>
  <si>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</si>
  <si>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</si>
  <si>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</si>
  <si>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</si>
  <si>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</si>
  <si>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</si>
  <si>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</si>
  <si>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</si>
  <si>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</si>
  <si>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</si>
  <si>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</si>
  <si>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</si>
  <si>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</si>
  <si>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</si>
  <si>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</si>
  <si>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</si>
  <si>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</si>
  <si>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</si>
  <si>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</si>
  <si>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</si>
  <si>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</si>
  <si>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</si>
  <si>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</si>
  <si>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</si>
  <si>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</si>
  <si>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</si>
  <si>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</si>
  <si>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</si>
  <si>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</si>
  <si>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</si>
  <si>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</si>
  <si>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</si>
  <si>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</si>
  <si>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</si>
  <si>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</si>
  <si>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</si>
  <si>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</si>
  <si>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</si>
  <si>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</si>
  <si>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</si>
  <si>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</si>
  <si>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</si>
  <si>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</si>
  <si>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</si>
  <si>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</si>
  <si>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</si>
  <si>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</si>
  <si>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</si>
  <si>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</si>
  <si>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</si>
  <si>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</si>
  <si>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</si>
  <si>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</si>
  <si>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</si>
  <si>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</si>
  <si>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</si>
  <si>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</si>
  <si>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</si>
  <si>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</si>
  <si>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</si>
  <si>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</si>
  <si>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</si>
  <si>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</si>
  <si>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</si>
  <si>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</si>
  <si>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</si>
  <si>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</si>
  <si>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</si>
  <si>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</si>
  <si>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</si>
  <si>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</si>
  <si>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</si>
  <si>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</si>
  <si>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</si>
  <si>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</si>
  <si>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</si>
  <si>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</si>
  <si>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</si>
  <si>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</si>
  <si>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</si>
  <si>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</si>
  <si>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</si>
  <si>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</si>
  <si>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</si>
  <si>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</si>
  <si>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</si>
  <si>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</si>
  <si>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</si>
  <si>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</si>
  <si>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</si>
  <si>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</si>
  <si>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</si>
  <si>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</si>
  <si>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</si>
  <si>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</si>
  <si>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</si>
  <si>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</si>
  <si>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</si>
  <si>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</si>
  <si>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</si>
  <si>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</si>
  <si>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</si>
  <si>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</si>
  <si>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</si>
  <si>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</si>
  <si>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</si>
  <si>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</si>
  <si>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</si>
  <si>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</si>
  <si>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</si>
  <si>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</si>
  <si>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</si>
  <si>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</si>
  <si>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</si>
  <si>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</si>
  <si>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</si>
  <si>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</si>
  <si>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</si>
  <si>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</si>
  <si>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</si>
  <si>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</si>
  <si>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</si>
  <si>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</si>
  <si>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</si>
  <si>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</si>
  <si>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</si>
  <si>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</si>
  <si>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</si>
  <si>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</si>
  <si>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</si>
  <si>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</si>
  <si>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</si>
  <si>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</si>
  <si>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</si>
  <si>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</si>
  <si>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</si>
  <si>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</si>
  <si>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</si>
  <si>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</si>
  <si>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</si>
  <si>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</si>
  <si>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</si>
  <si>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</si>
  <si>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</si>
  <si>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</si>
  <si>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</si>
  <si>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</si>
  <si>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</si>
  <si>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</si>
  <si>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</si>
  <si>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</si>
  <si>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</si>
  <si>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</si>
  <si>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</si>
  <si>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</si>
  <si>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</si>
  <si>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</si>
  <si>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</si>
  <si>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</si>
  <si>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</si>
  <si>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</si>
  <si>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</si>
  <si>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</si>
  <si>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</si>
  <si>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</si>
  <si>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</si>
  <si>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</si>
  <si>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</si>
  <si>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</si>
  <si>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</si>
  <si>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</si>
  <si>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</si>
  <si>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</si>
  <si>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</si>
  <si>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</si>
  <si>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</si>
  <si>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</si>
  <si>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</si>
  <si>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</si>
  <si>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</si>
  <si>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</si>
  <si>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</si>
  <si>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</si>
  <si>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</si>
  <si>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</si>
  <si>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</si>
  <si>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</si>
  <si>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</si>
  <si>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</si>
  <si>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</si>
  <si>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</si>
  <si>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</si>
  <si>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</si>
  <si>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</si>
  <si>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</si>
  <si>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</si>
  <si>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</si>
  <si>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</si>
  <si>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</si>
  <si>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</si>
  <si>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</si>
  <si>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</si>
  <si>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</si>
  <si>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</si>
  <si>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</si>
  <si>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</si>
  <si>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</si>
  <si>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</si>
  <si>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</si>
  <si>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</si>
  <si>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</si>
  <si>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</si>
  <si>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</si>
  <si>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</si>
  <si>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</si>
  <si>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</si>
  <si>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</si>
  <si>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</si>
  <si>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</si>
  <si>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</si>
  <si>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</si>
  <si>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</si>
  <si>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</si>
  <si>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</si>
  <si>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</si>
  <si>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</si>
  <si>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</si>
  <si>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</si>
  <si>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</si>
  <si>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</si>
  <si>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</si>
  <si>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</si>
  <si>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</si>
  <si>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</si>
  <si>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</si>
  <si>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</si>
  <si>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</si>
  <si>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</si>
  <si>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</si>
  <si>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</si>
  <si>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</si>
  <si>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</si>
  <si>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</si>
  <si>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</si>
  <si>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</si>
  <si>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</si>
  <si>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</si>
  <si>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</si>
  <si>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</si>
  <si>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</si>
  <si>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</si>
  <si>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</si>
  <si>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</si>
  <si>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</si>
  <si>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</si>
  <si>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</si>
  <si>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</si>
  <si>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</si>
  <si>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</si>
  <si>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</si>
  <si>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</si>
  <si>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</si>
  <si>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</si>
  <si>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</si>
  <si>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</si>
  <si>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</si>
  <si>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</si>
  <si>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</si>
  <si>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</si>
  <si>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</si>
  <si>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</si>
  <si>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</si>
  <si>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</si>
  <si>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</si>
  <si>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</si>
  <si>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</si>
  <si>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</si>
  <si>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</si>
  <si>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</si>
  <si>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</si>
  <si>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</si>
  <si>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</si>
  <si>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</si>
  <si>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</si>
  <si>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</si>
  <si>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</si>
  <si>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</si>
  <si>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</si>
  <si>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</si>
  <si>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</si>
  <si>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</si>
  <si>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</si>
  <si>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</si>
  <si>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</si>
  <si>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</si>
  <si>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</si>
  <si>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</si>
  <si>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</si>
  <si>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</si>
  <si>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</si>
  <si>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</si>
  <si>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</si>
  <si>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</si>
  <si>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</si>
  <si>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</si>
  <si>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</si>
  <si>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</si>
  <si>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</si>
  <si>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</si>
  <si>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</si>
  <si>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</si>
  <si>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</si>
  <si>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</si>
  <si>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</si>
  <si>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</si>
  <si>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</si>
  <si>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</si>
  <si>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</si>
  <si>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</si>
  <si>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</si>
  <si>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</si>
  <si>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</si>
  <si>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</si>
  <si>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</si>
  <si>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</si>
  <si>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</si>
  <si>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</si>
  <si>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</si>
  <si>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</si>
  <si>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</si>
  <si>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</si>
  <si>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</si>
  <si>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</si>
  <si>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</si>
  <si>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</si>
  <si>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</si>
  <si>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</si>
  <si>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</si>
  <si>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</si>
  <si>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</si>
  <si>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</si>
  <si>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</si>
  <si>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</si>
  <si>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</si>
  <si>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</si>
  <si>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</si>
  <si>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</si>
  <si>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</si>
  <si>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</si>
  <si>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</si>
  <si>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</si>
  <si>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</si>
  <si>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</si>
  <si>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</si>
  <si>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</si>
  <si>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</si>
  <si>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</si>
  <si>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</si>
  <si>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</si>
  <si>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</si>
  <si>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</si>
  <si>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</si>
  <si>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</si>
  <si>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</si>
  <si>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</si>
  <si>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</si>
  <si>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</si>
  <si>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</si>
  <si>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</si>
  <si>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</si>
  <si>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</si>
  <si>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</si>
  <si>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</si>
  <si>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</si>
  <si>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</si>
  <si>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</si>
  <si>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</si>
  <si>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</si>
  <si>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</si>
  <si>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</si>
  <si>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</si>
  <si>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</si>
  <si>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</si>
  <si>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</si>
  <si>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</si>
  <si>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</si>
  <si>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</si>
  <si>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</si>
  <si>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</si>
  <si>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</si>
  <si>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</si>
  <si>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</si>
  <si>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</si>
  <si>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</si>
  <si>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</si>
  <si>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</si>
  <si>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</si>
  <si>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</si>
  <si>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</si>
  <si>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</si>
  <si>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</si>
  <si>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</si>
  <si>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</si>
  <si>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</si>
  <si>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</si>
  <si>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</si>
  <si>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</si>
  <si>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</si>
  <si>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</si>
  <si>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</si>
  <si>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</si>
  <si>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</si>
  <si>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</si>
  <si>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</si>
  <si>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</si>
  <si>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</si>
  <si>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</si>
  <si>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</si>
  <si>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</si>
  <si>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</si>
  <si>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</si>
  <si>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</si>
  <si>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</si>
  <si>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</si>
  <si>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</si>
  <si>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</si>
  <si>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</si>
  <si>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</si>
  <si>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</si>
  <si>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</si>
  <si>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</si>
  <si>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</si>
  <si>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</si>
  <si>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</si>
  <si>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</si>
  <si>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</si>
  <si>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</si>
  <si>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</si>
  <si>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</si>
  <si>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</si>
  <si>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</si>
  <si>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</si>
  <si>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</si>
  <si>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</si>
  <si>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</si>
  <si>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</si>
  <si>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</si>
  <si>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</si>
  <si>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</si>
  <si>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</si>
  <si>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</si>
  <si>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</si>
  <si>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</si>
  <si>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</si>
  <si>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</si>
  <si>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</si>
  <si>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</si>
  <si>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</si>
  <si>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</si>
  <si>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</si>
  <si>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</si>
  <si>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</si>
  <si>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</si>
  <si>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</si>
  <si>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</si>
  <si>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</si>
  <si>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</si>
  <si>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</si>
  <si>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</si>
  <si>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</si>
  <si>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</si>
  <si>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</si>
  <si>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</si>
  <si>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</si>
  <si>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</si>
  <si>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</si>
  <si>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</si>
  <si>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</si>
  <si>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</si>
  <si>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</si>
  <si>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</si>
  <si>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</si>
  <si>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</si>
  <si>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</si>
  <si>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</si>
  <si>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</si>
  <si>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</si>
  <si>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</si>
  <si>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</si>
  <si>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</si>
  <si>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</si>
  <si>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</si>
  <si>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</si>
  <si>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</si>
  <si>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</si>
  <si>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</si>
  <si>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</si>
  <si>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</si>
  <si>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</si>
  <si>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</si>
  <si>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</si>
  <si>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</si>
  <si>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</si>
  <si>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</si>
  <si>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</si>
  <si>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</si>
  <si>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</si>
  <si>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</si>
  <si>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</si>
  <si>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</si>
  <si>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</si>
  <si>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</si>
  <si>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</si>
  <si>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</si>
  <si>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</si>
  <si>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</si>
  <si>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</si>
  <si>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</si>
  <si>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</si>
  <si>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</si>
  <si>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</si>
  <si>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</si>
  <si>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</si>
  <si>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</si>
  <si>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</si>
  <si>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</si>
  <si>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</si>
  <si>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</si>
  <si>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</si>
  <si>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</si>
  <si>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</si>
  <si>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</si>
  <si>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</si>
  <si>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</si>
  <si>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</si>
  <si>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</si>
  <si>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</si>
  <si>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</si>
  <si>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</si>
  <si>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</si>
  <si>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</si>
  <si>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</si>
  <si>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</si>
  <si>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</si>
  <si>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</si>
  <si>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</si>
  <si>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</si>
  <si>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</si>
  <si>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</si>
  <si>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</si>
  <si>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</si>
  <si>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</si>
  <si>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</si>
  <si>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</si>
  <si>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</si>
  <si>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</si>
  <si>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</si>
  <si>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</si>
  <si>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</si>
  <si>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</si>
  <si>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</si>
  <si>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</si>
  <si>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</si>
  <si>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</si>
  <si>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</si>
  <si>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</si>
  <si>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</si>
  <si>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</si>
  <si>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</si>
  <si>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</si>
  <si>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</si>
  <si>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</si>
  <si>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</si>
  <si>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</si>
  <si>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</si>
  <si>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</si>
  <si>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</si>
  <si>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</si>
  <si>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</si>
  <si>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</si>
  <si>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</si>
  <si>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</si>
  <si>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</si>
  <si>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</si>
  <si>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</si>
  <si>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</si>
  <si>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</si>
  <si>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</si>
  <si>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</si>
  <si>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</si>
  <si>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</si>
  <si>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</si>
  <si>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</si>
  <si>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</si>
  <si>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</si>
  <si>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</si>
  <si>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</si>
  <si>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</si>
  <si>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</si>
  <si>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</si>
  <si>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</si>
  <si>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</si>
  <si>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</si>
  <si>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</si>
  <si>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</si>
  <si>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</si>
  <si>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</si>
  <si>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</si>
  <si>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</si>
  <si>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</si>
  <si>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</si>
  <si>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</si>
  <si>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</si>
  <si>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</si>
  <si>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</si>
  <si>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</si>
  <si>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</si>
  <si>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</si>
  <si>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</si>
  <si>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</si>
  <si>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</si>
  <si>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</si>
  <si>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</si>
  <si>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</si>
  <si>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</si>
  <si>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</si>
  <si>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</si>
  <si>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</si>
  <si>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</si>
  <si>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</si>
  <si>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</si>
  <si>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</si>
  <si>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</si>
  <si>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</si>
  <si>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</si>
  <si>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</si>
  <si>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</si>
  <si>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</si>
  <si>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</si>
  <si>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</si>
  <si>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</si>
  <si>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</si>
  <si>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</si>
  <si>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</si>
  <si>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</si>
  <si>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</si>
  <si>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</si>
  <si>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</si>
  <si>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</si>
  <si>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</si>
  <si>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</si>
  <si>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</si>
  <si>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</si>
  <si>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</si>
  <si>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</si>
  <si>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</si>
  <si>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</si>
  <si>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</si>
  <si>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</si>
  <si>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</si>
  <si>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</si>
  <si>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</si>
  <si>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</si>
  <si>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</si>
  <si>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</si>
  <si>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</si>
  <si>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</si>
  <si>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</si>
  <si>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</si>
  <si>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</si>
  <si>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</si>
  <si>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</si>
  <si>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</si>
  <si>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</si>
  <si>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</si>
  <si>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</si>
  <si>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</si>
  <si>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</si>
  <si>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</si>
  <si>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</si>
  <si>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</si>
  <si>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</si>
  <si>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</si>
  <si>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</si>
  <si>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</si>
  <si>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</si>
  <si>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</si>
  <si>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</si>
  <si>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</si>
  <si>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</si>
  <si>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</si>
  <si>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</si>
  <si>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</si>
  <si>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</si>
  <si>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</si>
  <si>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</si>
  <si>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</si>
  <si>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</si>
  <si>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</si>
  <si>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</si>
  <si>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</si>
  <si>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</si>
  <si>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</si>
  <si>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</si>
  <si>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</si>
  <si>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</si>
  <si>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</si>
  <si>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</si>
  <si>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</si>
  <si>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</si>
  <si>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</si>
  <si>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</si>
  <si>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</si>
  <si>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</si>
  <si>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</si>
  <si>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</si>
  <si>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</si>
  <si>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</si>
  <si>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</si>
  <si>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</si>
  <si>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</si>
  <si>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</si>
  <si>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</si>
  <si>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</si>
  <si>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</si>
  <si>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</si>
  <si>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</si>
  <si>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</si>
  <si>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</si>
  <si>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</si>
  <si>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</si>
  <si>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</si>
  <si>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</si>
  <si>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</si>
  <si>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</si>
  <si>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</si>
  <si>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</si>
  <si>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</si>
  <si>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</si>
  <si>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</si>
  <si>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</si>
  <si>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</si>
  <si>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</si>
  <si>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</si>
  <si>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</si>
  <si>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</si>
  <si>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</si>
  <si>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</si>
  <si>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</si>
  <si>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</si>
  <si>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</si>
  <si>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</si>
  <si>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</si>
  <si>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</si>
  <si>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</si>
  <si>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</si>
  <si>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</si>
  <si>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</si>
  <si>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</si>
  <si>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</si>
  <si>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</si>
  <si>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</si>
  <si>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</si>
  <si>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</si>
  <si>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</si>
  <si>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</si>
  <si>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</si>
  <si>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</si>
  <si>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</si>
  <si>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</si>
  <si>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</si>
  <si>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</si>
  <si>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</si>
  <si>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</si>
  <si>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</si>
  <si>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</si>
  <si>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</si>
  <si>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</si>
  <si>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</si>
  <si>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</si>
  <si>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</si>
  <si>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</si>
  <si>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</si>
  <si>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</si>
  <si>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</si>
  <si>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</si>
  <si>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</si>
  <si>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</si>
  <si>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</si>
  <si>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</si>
  <si>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</si>
  <si>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</si>
  <si>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</si>
  <si>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</si>
  <si>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</si>
  <si>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</si>
  <si>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</si>
  <si>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</si>
  <si>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</si>
  <si>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</si>
  <si>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</si>
  <si>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</si>
  <si>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</si>
  <si>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</si>
  <si>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</si>
  <si>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</si>
  <si>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</si>
  <si>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</si>
  <si>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</si>
  <si>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</si>
  <si>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</si>
  <si>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</si>
  <si>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</si>
  <si>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</si>
  <si>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</si>
  <si>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</si>
  <si>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</si>
  <si>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</si>
  <si>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</si>
  <si>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</si>
  <si>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</si>
  <si>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</si>
  <si>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</si>
  <si>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</si>
  <si>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</si>
  <si>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</si>
  <si>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</si>
  <si>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</si>
  <si>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</si>
  <si>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</si>
  <si>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</si>
  <si>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</si>
  <si>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</si>
  <si>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</si>
  <si>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</si>
  <si>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</si>
  <si>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</si>
  <si>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</si>
  <si>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</si>
  <si>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</si>
  <si>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</si>
  <si>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</si>
  <si>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</si>
  <si>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</si>
  <si>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</si>
  <si>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</si>
  <si>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</si>
  <si>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</si>
  <si>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</si>
  <si>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</si>
  <si>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</si>
  <si>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</si>
  <si>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</si>
  <si>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</si>
  <si>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</si>
  <si>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</si>
  <si>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</si>
  <si>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</si>
  <si>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</si>
  <si>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</si>
  <si>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</si>
  <si>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</si>
  <si>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</si>
  <si>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</si>
  <si>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</si>
  <si>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</si>
  <si>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</si>
  <si>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</si>
  <si>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</si>
  <si>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</si>
  <si>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</si>
  <si>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</si>
  <si>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</si>
  <si>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</si>
  <si>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</si>
  <si>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</si>
  <si>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</si>
  <si>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</si>
  <si>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</si>
  <si>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</si>
  <si>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</si>
  <si>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</si>
  <si>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</si>
  <si>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</si>
  <si>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</si>
  <si>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</si>
  <si>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</si>
  <si>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</si>
  <si>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</si>
  <si>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</si>
  <si>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</si>
  <si>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</si>
  <si>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</si>
  <si>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</si>
  <si>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</si>
  <si>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</si>
  <si>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</si>
  <si>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</si>
  <si>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</si>
  <si>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</si>
  <si>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</si>
  <si>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</si>
  <si>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</si>
  <si>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</si>
  <si>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</si>
  <si>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</si>
  <si>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</si>
  <si>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</si>
  <si>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</si>
  <si>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</si>
  <si>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</si>
  <si>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</si>
  <si>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</si>
  <si>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</si>
  <si>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</si>
  <si>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</si>
  <si>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</si>
  <si>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</si>
  <si>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</si>
  <si>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</si>
  <si>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</si>
  <si>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</si>
  <si>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</si>
  <si>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</si>
  <si>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</si>
  <si>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</si>
  <si>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</si>
  <si>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</si>
  <si>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</si>
  <si>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</si>
  <si>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</si>
  <si>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</si>
  <si>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</si>
  <si>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</si>
  <si>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</si>
  <si>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</si>
  <si>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</si>
  <si>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</si>
  <si>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</si>
  <si>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</si>
  <si>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</si>
  <si>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</si>
  <si>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</si>
  <si>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</si>
  <si>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</si>
  <si>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</si>
  <si>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</si>
  <si>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</si>
  <si>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</si>
  <si>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</si>
  <si>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</si>
  <si>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</si>
  <si>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</si>
  <si>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</si>
  <si>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</si>
  <si>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</si>
  <si>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</si>
  <si>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</si>
  <si>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</si>
  <si>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</si>
  <si>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</si>
  <si>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</si>
  <si>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</si>
  <si>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</si>
  <si>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</si>
  <si>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</si>
  <si>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</si>
  <si>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</si>
  <si>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</si>
  <si>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</si>
  <si>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</si>
  <si>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</si>
  <si>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</si>
  <si>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</si>
  <si>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</si>
  <si>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</si>
  <si>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</si>
  <si>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</si>
  <si>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</si>
  <si>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</si>
  <si>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</si>
  <si>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</si>
  <si>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</si>
  <si>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</si>
  <si>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</si>
  <si>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</si>
  <si>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</si>
  <si>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</si>
  <si>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</si>
  <si>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</si>
  <si>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</si>
  <si>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</si>
  <si>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</si>
  <si>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</si>
  <si>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</si>
  <si>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</si>
  <si>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</si>
  <si>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</si>
  <si>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</si>
  <si>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</si>
  <si>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</si>
  <si>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</si>
  <si>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</si>
  <si>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</si>
  <si>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</si>
  <si>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</si>
  <si>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</si>
  <si>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</si>
  <si>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</si>
  <si>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</si>
  <si>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</si>
  <si>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</si>
  <si>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</si>
  <si>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</si>
  <si>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</si>
  <si>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</si>
  <si>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</si>
  <si>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</si>
  <si>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</si>
  <si>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</si>
  <si>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</si>
  <si>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</si>
  <si>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</si>
  <si>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</si>
  <si>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</si>
  <si>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</si>
  <si>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</si>
  <si>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</si>
  <si>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</si>
  <si>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</si>
  <si>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</si>
  <si>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</si>
  <si>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</si>
  <si>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</si>
  <si>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</si>
  <si>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</si>
  <si>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</si>
  <si>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</si>
  <si>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</si>
  <si>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</si>
  <si>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</si>
  <si>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</si>
  <si>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</si>
  <si>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</si>
  <si>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</si>
  <si>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</si>
  <si>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</si>
  <si>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</si>
  <si>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</si>
  <si>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</si>
  <si>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</si>
  <si>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</si>
  <si>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</si>
  <si>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</si>
  <si>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</si>
  <si>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</si>
  <si>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</si>
  <si>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</si>
  <si>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</si>
  <si>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</si>
  <si>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</si>
  <si>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</si>
  <si>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</si>
  <si>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</si>
  <si>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</si>
  <si>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</si>
  <si>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</si>
  <si>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</si>
  <si>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</si>
  <si>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</si>
  <si>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</si>
  <si>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</si>
  <si>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</si>
  <si>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</si>
  <si>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</si>
  <si>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</si>
  <si>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</si>
  <si>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</si>
  <si>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</si>
  <si>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</si>
  <si>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</si>
  <si>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</si>
  <si>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</si>
  <si>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</si>
  <si>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</si>
  <si>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</si>
  <si>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</si>
  <si>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</si>
  <si>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</si>
  <si>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</si>
  <si>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</si>
  <si>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</si>
  <si>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</si>
  <si>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</si>
  <si>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</si>
  <si>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</si>
  <si>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</si>
  <si>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</si>
  <si>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</si>
  <si>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</si>
  <si>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</si>
  <si>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</si>
  <si>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</si>
  <si>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</si>
  <si>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</si>
  <si>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</si>
  <si>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</si>
  <si>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</si>
  <si>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</si>
  <si>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</si>
  <si>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</si>
  <si>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</si>
  <si>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</si>
  <si>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</si>
  <si>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</si>
  <si>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</si>
  <si>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</si>
  <si>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</si>
  <si>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</si>
  <si>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</si>
  <si>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</si>
  <si>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</si>
  <si>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</si>
  <si>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</si>
  <si>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</si>
  <si>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</si>
  <si>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</si>
  <si>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</si>
  <si>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</si>
  <si>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</si>
  <si>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</si>
  <si>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</si>
  <si>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</si>
  <si>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</si>
  <si>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</si>
  <si>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</si>
  <si>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</si>
  <si>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</si>
  <si>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</si>
  <si>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</si>
  <si>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</si>
  <si>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</si>
  <si>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</si>
  <si>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</si>
  <si>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</si>
  <si>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</si>
  <si>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</si>
  <si>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</si>
  <si>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</si>
  <si>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</si>
  <si>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</si>
  <si>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</si>
  <si>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</si>
  <si>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</si>
  <si>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</si>
  <si>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</si>
  <si>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</si>
  <si>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</si>
  <si>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</si>
  <si>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</si>
  <si>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</si>
  <si>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</si>
  <si>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</si>
  <si>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</si>
  <si>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</si>
  <si>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</si>
  <si>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</si>
  <si>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</si>
  <si>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</si>
  <si>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</si>
  <si>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</si>
  <si>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</si>
  <si>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</si>
  <si>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</si>
  <si>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</si>
  <si>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</si>
  <si>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</si>
  <si>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</si>
  <si>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</si>
  <si>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</si>
  <si>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</si>
  <si>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</si>
  <si>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</si>
  <si>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</si>
  <si>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</si>
  <si>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</si>
  <si>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</si>
  <si>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</si>
  <si>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</si>
  <si>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</si>
  <si>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</si>
  <si>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</si>
  <si>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</si>
  <si>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</si>
  <si>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</si>
  <si>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</si>
  <si>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</si>
  <si>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</si>
  <si>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</si>
  <si>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</si>
  <si>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</si>
  <si>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</si>
  <si>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</si>
  <si>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</si>
  <si>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</si>
  <si>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</si>
  <si>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</si>
  <si>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</si>
  <si>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</si>
  <si>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</si>
  <si>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</si>
  <si>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</si>
  <si>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</si>
  <si>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</si>
  <si>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</si>
  <si>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</si>
  <si>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</si>
  <si>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</si>
  <si>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</si>
  <si>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</si>
  <si>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</si>
  <si>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</si>
  <si>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</si>
  <si>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</si>
  <si>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</si>
  <si>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</si>
  <si>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</si>
  <si>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</si>
  <si>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</si>
  <si>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</si>
  <si>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</si>
  <si>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</si>
  <si>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</si>
  <si>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</si>
  <si>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</si>
  <si>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</si>
  <si>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</si>
  <si>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</si>
  <si>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</si>
  <si>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</si>
  <si>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</si>
  <si>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</si>
  <si>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</si>
  <si>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</si>
  <si>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</si>
  <si>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</si>
  <si>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</si>
  <si>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</si>
  <si>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</si>
  <si>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</si>
  <si>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</si>
  <si>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</si>
  <si>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</si>
  <si>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</si>
  <si>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</si>
  <si>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</si>
  <si>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</si>
  <si>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</si>
  <si>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</si>
  <si>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</si>
  <si>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</si>
  <si>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</si>
  <si>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</si>
  <si>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</si>
  <si>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</si>
  <si>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</si>
  <si>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</si>
  <si>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</si>
  <si>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</si>
  <si>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</si>
  <si>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</si>
  <si>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</si>
  <si>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</si>
  <si>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</si>
  <si>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</si>
  <si>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</si>
  <si>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</si>
  <si>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</si>
  <si>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</si>
  <si>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</si>
  <si>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</si>
  <si>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</si>
  <si>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</si>
  <si>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</si>
  <si>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</si>
  <si>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</si>
  <si>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</si>
  <si>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</si>
  <si>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</si>
  <si>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</si>
  <si>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</si>
  <si>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</si>
  <si>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</si>
  <si>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</si>
  <si>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</si>
  <si>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</si>
  <si>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</si>
  <si>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</si>
  <si>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</si>
  <si>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</si>
  <si>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</si>
  <si>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</si>
  <si>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</si>
  <si>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</si>
  <si>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</si>
  <si>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</si>
  <si>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</si>
  <si>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</si>
  <si>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</si>
  <si>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</si>
  <si>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</si>
  <si>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</si>
  <si>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</si>
  <si>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</si>
  <si>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</si>
  <si>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</si>
  <si>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</si>
  <si>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</si>
  <si>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</si>
  <si>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</si>
  <si>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</si>
  <si>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</si>
  <si>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</si>
  <si>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</si>
  <si>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</si>
  <si>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</si>
  <si>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</si>
  <si>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</si>
  <si>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</si>
  <si>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</si>
  <si>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</si>
  <si>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</si>
  <si>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</si>
  <si>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</si>
  <si>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</si>
  <si>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</si>
  <si>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</si>
  <si>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</si>
  <si>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</si>
  <si>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</si>
  <si>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</si>
  <si>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</si>
  <si>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</si>
  <si>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</si>
  <si>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</si>
  <si>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</si>
  <si>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</si>
  <si>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</si>
  <si>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</si>
  <si>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</si>
  <si>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</si>
  <si>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</si>
  <si>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</si>
  <si>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</si>
  <si>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</si>
  <si>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</si>
  <si>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</si>
  <si>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</si>
  <si>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</si>
  <si>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</si>
  <si>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</si>
  <si>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</si>
  <si>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</si>
  <si>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</si>
  <si>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</si>
  <si>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</si>
  <si>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</si>
  <si>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</si>
  <si>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</si>
  <si>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</si>
  <si>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</si>
  <si>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</si>
  <si>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</si>
  <si>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</si>
  <si>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</si>
  <si>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</si>
  <si>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</si>
  <si>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</si>
  <si>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</si>
  <si>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</si>
  <si>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</si>
  <si>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</si>
  <si>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</si>
  <si>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</si>
  <si>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</si>
  <si>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</si>
  <si>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</si>
  <si>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</si>
  <si>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</si>
  <si>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</si>
  <si>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</si>
  <si>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</si>
  <si>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</si>
  <si>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</si>
  <si>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</si>
  <si>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</si>
  <si>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</si>
  <si>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</si>
  <si>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</si>
  <si>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</si>
  <si>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</si>
  <si>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</si>
  <si>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</si>
  <si>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</si>
  <si>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</si>
  <si>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</si>
  <si>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</si>
  <si>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</si>
  <si>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</si>
  <si>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</si>
  <si>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</si>
  <si>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</si>
  <si>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</si>
  <si>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</si>
  <si>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</si>
  <si>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</si>
  <si>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</si>
  <si>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</si>
  <si>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</si>
  <si>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</si>
  <si>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</si>
  <si>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</si>
  <si>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</si>
  <si>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</si>
  <si>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</si>
  <si>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</si>
  <si>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</si>
  <si>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</si>
  <si>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</si>
  <si>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</si>
  <si>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</si>
  <si>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</si>
  <si>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</si>
  <si>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</si>
  <si>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</si>
  <si>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</si>
  <si>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</si>
  <si>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</si>
  <si>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</si>
  <si>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</si>
  <si>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</si>
  <si>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</si>
  <si>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</si>
  <si>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</si>
  <si>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</si>
  <si>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</si>
  <si>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</si>
  <si>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</si>
  <si>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</si>
  <si>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</si>
  <si>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</si>
  <si>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</si>
  <si>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</si>
  <si>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</si>
  <si>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</si>
  <si>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</si>
  <si>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</si>
  <si>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</si>
  <si>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</si>
  <si>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</si>
  <si>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</si>
  <si>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</si>
  <si>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</si>
  <si>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</si>
  <si>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</si>
  <si>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</si>
  <si>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</si>
  <si>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</si>
  <si>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</si>
  <si>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</si>
  <si>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</si>
  <si>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</si>
  <si>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</si>
  <si>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</si>
  <si>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</si>
  <si>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</si>
  <si>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</si>
  <si>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</si>
  <si>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</si>
  <si>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</si>
  <si>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</si>
  <si>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</si>
  <si>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</si>
  <si>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</si>
  <si>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</si>
  <si>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</si>
  <si>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</si>
  <si>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</si>
  <si>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</si>
  <si>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</si>
  <si>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</si>
  <si>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</si>
  <si>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</si>
  <si>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</si>
  <si>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</si>
  <si>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</si>
  <si>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</si>
  <si>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</si>
  <si>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</si>
  <si>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</si>
  <si>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</si>
  <si>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</si>
  <si>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</si>
  <si>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</si>
  <si>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</si>
  <si>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</si>
  <si>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</si>
  <si>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</si>
  <si>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</si>
  <si>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</si>
  <si>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</si>
  <si>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</si>
  <si>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</si>
  <si>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</si>
  <si>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</si>
  <si>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</si>
  <si>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</si>
  <si>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</si>
  <si>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</si>
  <si>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</si>
  <si>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</si>
  <si>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</si>
  <si>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</si>
  <si>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</si>
  <si>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</si>
  <si>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</si>
  <si>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</si>
  <si>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</si>
  <si>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</si>
  <si>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</si>
  <si>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</si>
  <si>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</si>
  <si>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</si>
  <si>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</si>
  <si>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</si>
  <si>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</si>
  <si>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</si>
  <si>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</si>
  <si>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</si>
  <si>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</si>
  <si>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</si>
  <si>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</si>
  <si>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</si>
  <si>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</si>
  <si>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</si>
  <si>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</si>
  <si>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</si>
  <si>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</si>
  <si>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</si>
  <si>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</si>
  <si>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</si>
  <si>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</si>
  <si>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</si>
  <si>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</si>
  <si>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</si>
  <si>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</si>
  <si>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</si>
  <si>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</si>
  <si>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</si>
  <si>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</si>
  <si>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</si>
  <si>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</si>
  <si>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</si>
  <si>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</si>
  <si>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</si>
  <si>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</si>
  <si>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</si>
  <si>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</si>
  <si>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</si>
  <si>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</si>
  <si>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</si>
  <si>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</si>
  <si>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</si>
  <si>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</si>
  <si>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</si>
  <si>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</si>
  <si>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</si>
  <si>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</si>
  <si>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</si>
  <si>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</si>
  <si>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</si>
  <si>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</si>
  <si>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</si>
  <si>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</si>
  <si>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</si>
  <si>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</si>
  <si>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</si>
  <si>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</si>
  <si>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</si>
  <si>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</si>
  <si>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</si>
  <si>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</si>
  <si>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</si>
  <si>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</si>
  <si>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</si>
  <si>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</si>
  <si>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</si>
  <si>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</si>
  <si>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</si>
  <si>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</si>
  <si>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</si>
  <si>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</si>
  <si>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</si>
  <si>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</si>
  <si>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</si>
  <si>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</si>
  <si>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</si>
  <si>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</si>
  <si>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</si>
  <si>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</si>
  <si>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</si>
  <si>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</si>
  <si>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</si>
  <si>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</si>
  <si>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</si>
  <si>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</si>
  <si>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</si>
  <si>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</si>
  <si>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</si>
  <si>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</si>
  <si>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</si>
  <si>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</si>
  <si>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</si>
  <si>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</si>
  <si>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</si>
  <si>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</si>
  <si>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</si>
  <si>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</si>
  <si>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</si>
  <si>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</si>
  <si>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</si>
  <si>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</si>
  <si>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</si>
  <si>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</si>
  <si>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</si>
  <si>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</si>
  <si>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</si>
  <si>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</si>
  <si>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</si>
  <si>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</si>
  <si>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</si>
  <si>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</si>
  <si>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</si>
  <si>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</si>
  <si>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</si>
  <si>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</si>
  <si>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</si>
  <si>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</si>
  <si>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</si>
  <si>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</si>
  <si>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</si>
  <si>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</si>
  <si>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</si>
  <si>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</si>
  <si>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</si>
  <si>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</si>
  <si>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</si>
  <si>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</si>
  <si>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</si>
  <si>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</si>
  <si>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</si>
  <si>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</si>
  <si>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</si>
  <si>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</si>
  <si>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</si>
  <si>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</si>
  <si>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</si>
  <si>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</si>
  <si>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</si>
  <si>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</si>
  <si>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</si>
  <si>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</si>
  <si>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</si>
  <si>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</si>
  <si>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</si>
  <si>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</si>
  <si>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</si>
  <si>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</si>
  <si>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</si>
  <si>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</si>
  <si>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</si>
  <si>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</si>
  <si>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</si>
  <si>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</si>
  <si>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</si>
  <si>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</si>
  <si>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</si>
  <si>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</si>
  <si>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</si>
  <si>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</si>
  <si>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</si>
  <si>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</si>
  <si>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</si>
  <si>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</si>
  <si>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</si>
  <si>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</si>
  <si>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</si>
  <si>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</si>
  <si>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</si>
  <si>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</si>
  <si>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</si>
  <si>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</si>
  <si>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</si>
  <si>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</si>
  <si>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</si>
  <si>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</si>
  <si>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</si>
  <si>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</si>
  <si>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</si>
  <si>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</si>
  <si>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</si>
  <si>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</si>
  <si>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</si>
  <si>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</si>
  <si>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</si>
  <si>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</si>
  <si>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</si>
  <si>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</si>
  <si>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</si>
  <si>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</si>
  <si>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</si>
  <si>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</si>
  <si>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</si>
  <si>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</si>
  <si>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</si>
  <si>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</si>
  <si>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</si>
  <si>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</si>
  <si>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</si>
  <si>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</si>
  <si>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</si>
  <si>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</si>
  <si>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</si>
  <si>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</si>
  <si>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</si>
  <si>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</si>
  <si>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</si>
  <si>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</si>
  <si>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</si>
  <si>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</si>
  <si>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</si>
  <si>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</si>
  <si>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</si>
  <si>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</si>
  <si>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</si>
  <si>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</si>
  <si>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</si>
  <si>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</si>
  <si>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</si>
  <si>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</si>
  <si>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</si>
  <si>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</si>
  <si>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</si>
  <si>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</si>
  <si>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</si>
  <si>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</si>
  <si>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</si>
  <si>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</si>
  <si>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</si>
  <si>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</si>
  <si>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</si>
  <si>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</si>
  <si>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</si>
  <si>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</si>
  <si>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</si>
  <si>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</si>
  <si>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</si>
  <si>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</si>
  <si>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</si>
  <si>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</si>
  <si>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</si>
  <si>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</si>
  <si>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</si>
  <si>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</si>
  <si>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</si>
  <si>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</si>
  <si>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</si>
  <si>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</si>
  <si>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</si>
  <si>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</si>
  <si>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</si>
  <si>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</si>
  <si>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</si>
  <si>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</si>
  <si>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</si>
  <si>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</si>
  <si>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</si>
  <si>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</si>
  <si>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</si>
  <si>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</si>
  <si>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</si>
  <si>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</si>
  <si>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</si>
  <si>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</si>
  <si>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</si>
  <si>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</si>
  <si>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</si>
  <si>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</si>
  <si>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</si>
  <si>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</si>
  <si>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</si>
  <si>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</si>
  <si>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</si>
  <si>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</si>
  <si>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</si>
  <si>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</si>
  <si>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</si>
  <si>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</si>
  <si>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</si>
  <si>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</si>
  <si>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</si>
  <si>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</si>
  <si>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</si>
  <si>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</si>
  <si>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</si>
  <si>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</si>
  <si>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</si>
  <si>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</si>
  <si>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</si>
  <si>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</si>
  <si>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</si>
  <si>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</si>
  <si>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</si>
  <si>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</si>
  <si>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</si>
  <si>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</si>
  <si>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</si>
  <si>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</si>
  <si>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</si>
  <si>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</si>
  <si>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</si>
  <si>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</si>
  <si>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</si>
  <si>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</si>
  <si>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</si>
  <si>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</si>
  <si>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</si>
  <si>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</si>
  <si>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</si>
  <si>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</si>
  <si>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</si>
  <si>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</si>
  <si>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</si>
  <si>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</si>
  <si>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</si>
  <si>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</si>
  <si>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</si>
  <si>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</si>
  <si>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</si>
  <si>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</si>
  <si>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</si>
  <si>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</si>
  <si>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</si>
  <si>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</si>
  <si>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</si>
  <si>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</si>
  <si>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</si>
  <si>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</si>
  <si>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</si>
  <si>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</si>
  <si>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</si>
  <si>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</si>
  <si>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</si>
  <si>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</si>
  <si>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</si>
  <si>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</si>
  <si>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</si>
  <si>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</si>
  <si>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</si>
  <si>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</si>
  <si>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</si>
  <si>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</si>
  <si>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</si>
  <si>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</si>
  <si>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</si>
  <si>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</si>
  <si>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</si>
  <si>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</si>
  <si>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</si>
  <si>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</si>
  <si>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</si>
  <si>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</si>
  <si>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</si>
  <si>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</si>
  <si>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</si>
  <si>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</si>
  <si>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</si>
  <si>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</si>
  <si>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</si>
  <si>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</si>
  <si>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</si>
  <si>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</si>
  <si>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</si>
  <si>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</si>
  <si>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</si>
  <si>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</si>
  <si>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</si>
  <si>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</si>
  <si>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</si>
  <si>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</si>
  <si>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</si>
  <si>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</si>
  <si>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</si>
  <si>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</si>
  <si>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</si>
  <si>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</si>
  <si>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</si>
  <si>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</si>
  <si>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</si>
  <si>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</si>
  <si>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</si>
  <si>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</si>
  <si>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</si>
  <si>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</si>
  <si>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</si>
  <si>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</si>
  <si>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</si>
  <si>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</si>
  <si>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</si>
  <si>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</si>
  <si>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</si>
  <si>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</si>
  <si>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</si>
  <si>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</si>
  <si>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</si>
  <si>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</si>
  <si>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</si>
  <si>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</si>
  <si>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</si>
  <si>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</si>
  <si>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</si>
  <si>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</si>
  <si>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</si>
  <si>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</si>
  <si>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</si>
  <si>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</si>
  <si>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</si>
  <si>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</si>
  <si>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</si>
  <si>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</si>
  <si>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</si>
  <si>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</si>
  <si>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</si>
  <si>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</si>
  <si>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</si>
  <si>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</si>
  <si>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</si>
  <si>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</si>
  <si>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</si>
  <si>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</si>
  <si>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</si>
  <si>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</si>
  <si>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</si>
  <si>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</si>
  <si>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</si>
  <si>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</si>
  <si>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</si>
  <si>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</si>
  <si>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</si>
  <si>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</si>
  <si>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</si>
  <si>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</si>
  <si>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</si>
  <si>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</si>
  <si>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</si>
  <si>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</si>
  <si>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</si>
  <si>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</si>
  <si>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</si>
  <si>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</si>
  <si>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</si>
  <si>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</si>
  <si>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</si>
  <si>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</si>
  <si>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</si>
  <si>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</si>
  <si>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</si>
  <si>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</si>
  <si>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</si>
  <si>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</si>
  <si>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</si>
  <si>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</si>
  <si>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</si>
  <si>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</si>
  <si>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</si>
  <si>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</si>
  <si>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</si>
  <si>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</si>
  <si>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</si>
  <si>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</si>
  <si>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</si>
  <si>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</si>
  <si>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</si>
  <si>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</si>
  <si>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</si>
  <si>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</si>
  <si>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</si>
  <si>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</si>
  <si>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</si>
  <si>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</si>
  <si>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</si>
  <si>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</si>
  <si>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</si>
  <si>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</si>
  <si>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</si>
  <si>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</si>
  <si>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</si>
  <si>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</si>
  <si>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</si>
  <si>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</si>
  <si>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</si>
  <si>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</si>
  <si>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</si>
  <si>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</si>
  <si>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</si>
  <si>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</si>
  <si>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</si>
  <si>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</si>
  <si>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</si>
  <si>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</si>
  <si>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</si>
  <si>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</si>
  <si>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</si>
  <si>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</si>
  <si>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</si>
  <si>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</si>
  <si>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</si>
  <si>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</si>
  <si>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</si>
  <si>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</si>
  <si>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</si>
  <si>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</si>
  <si>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</si>
  <si>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</si>
  <si>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</si>
  <si>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</si>
  <si>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</si>
  <si>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</si>
  <si>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</si>
  <si>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</si>
  <si>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</si>
  <si>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</si>
  <si>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</si>
  <si>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</si>
  <si>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</si>
  <si>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</si>
  <si>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</si>
  <si>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</si>
  <si>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</si>
  <si>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</si>
  <si>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</si>
  <si>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</si>
  <si>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</si>
  <si>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</si>
  <si>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</si>
  <si>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</si>
  <si>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</si>
  <si>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</si>
  <si>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</si>
  <si>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</si>
  <si>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</si>
  <si>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</si>
  <si>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</si>
  <si>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</si>
  <si>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</si>
  <si>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</si>
  <si>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</si>
  <si>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</si>
  <si>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</si>
  <si>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</si>
  <si>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</si>
  <si>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</si>
  <si>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</si>
  <si>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</si>
  <si>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</si>
  <si>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</si>
  <si>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</si>
  <si>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</si>
  <si>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</si>
  <si>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</si>
  <si>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</si>
  <si>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</si>
  <si>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</si>
  <si>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</si>
  <si>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</si>
  <si>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</si>
  <si>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</si>
  <si>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</si>
  <si>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</si>
  <si>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</si>
  <si>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</si>
  <si>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</si>
  <si>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</si>
  <si>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</si>
  <si>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</si>
  <si>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</si>
  <si>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</si>
  <si>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</si>
  <si>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</si>
  <si>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</si>
  <si>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</si>
  <si>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</si>
  <si>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</si>
  <si>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</si>
  <si>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</si>
  <si>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</si>
  <si>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</si>
  <si>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</si>
  <si>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</si>
  <si>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</si>
  <si>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</si>
  <si>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</si>
  <si>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</si>
  <si>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</si>
  <si>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</si>
  <si>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</si>
  <si>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</si>
  <si>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</si>
  <si>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</si>
  <si>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</si>
  <si>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</si>
  <si>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</si>
  <si>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</si>
  <si>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</si>
  <si>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</si>
  <si>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</si>
  <si>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</si>
  <si>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</si>
  <si>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</si>
  <si>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</si>
  <si>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</si>
  <si>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</si>
  <si>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</si>
  <si>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</si>
  <si>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</si>
  <si>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</si>
  <si>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</si>
  <si>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</si>
  <si>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</si>
  <si>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</si>
  <si>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</si>
  <si>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</si>
  <si>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</si>
  <si>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</si>
  <si>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</si>
  <si>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</si>
  <si>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</si>
  <si>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</si>
  <si>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</si>
  <si>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</si>
  <si>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</si>
  <si>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</si>
  <si>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</si>
  <si>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</si>
  <si>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</si>
  <si>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</si>
  <si>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</si>
  <si>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</si>
  <si>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</si>
  <si>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</si>
  <si>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</si>
  <si>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</si>
  <si>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</si>
  <si>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</si>
  <si>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</si>
  <si>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</si>
  <si>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</si>
  <si>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</si>
  <si>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</si>
  <si>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</si>
  <si>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</si>
  <si>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</si>
  <si>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</si>
  <si>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</si>
  <si>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</si>
  <si>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</si>
  <si>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</si>
  <si>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</si>
  <si>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</si>
  <si>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</si>
  <si>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</si>
  <si>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</si>
  <si>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</si>
  <si>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</si>
  <si>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</si>
  <si>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</si>
  <si>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</si>
  <si>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</si>
  <si>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</si>
  <si>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</si>
  <si>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</si>
  <si>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</si>
  <si>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</si>
  <si>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</si>
  <si>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</si>
  <si>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</si>
  <si>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</si>
  <si>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</si>
  <si>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</si>
  <si>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</si>
  <si>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</si>
  <si>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</si>
  <si>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</si>
  <si>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</si>
  <si>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</si>
  <si>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</si>
  <si>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</si>
  <si>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</si>
  <si>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</si>
  <si>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</si>
  <si>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</si>
  <si>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</si>
  <si>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</si>
  <si>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</si>
  <si>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</si>
  <si>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</si>
  <si>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</si>
  <si>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</si>
  <si>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</si>
  <si>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</si>
  <si>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</si>
  <si>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</si>
  <si>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</si>
  <si>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</si>
  <si>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</si>
  <si>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</si>
  <si>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</si>
  <si>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</si>
  <si>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</si>
  <si>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</si>
  <si>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</si>
  <si>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</si>
  <si>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</si>
  <si>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</si>
  <si>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</si>
  <si>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</si>
  <si>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</si>
  <si>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</si>
  <si>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</si>
  <si>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</si>
  <si>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</si>
  <si>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</si>
  <si>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</si>
  <si>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</si>
  <si>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</si>
  <si>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</si>
  <si>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</si>
  <si>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</si>
  <si>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</si>
  <si>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</si>
  <si>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</si>
  <si>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</si>
  <si>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</si>
  <si>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</si>
  <si>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</si>
  <si>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</si>
  <si>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</si>
  <si>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</si>
  <si>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</si>
  <si>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</si>
  <si>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</si>
  <si>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</si>
  <si>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</si>
  <si>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</si>
  <si>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</si>
  <si>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</si>
  <si>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</si>
  <si>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</si>
  <si>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</si>
  <si>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</si>
  <si>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</si>
  <si>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</si>
  <si>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</si>
  <si>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</si>
  <si>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</si>
  <si>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</si>
  <si>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</si>
  <si>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</si>
  <si>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</si>
  <si>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</si>
  <si>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</si>
  <si>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</si>
  <si>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</si>
  <si>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</si>
  <si>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</si>
  <si>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</si>
  <si>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</si>
  <si>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</si>
  <si>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</si>
  <si>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</si>
  <si>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</si>
  <si>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</si>
  <si>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</si>
  <si>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</si>
  <si>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</si>
  <si>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</si>
  <si>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</si>
  <si>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</si>
  <si>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</si>
  <si>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</si>
  <si>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</si>
  <si>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</si>
  <si>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</si>
  <si>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</si>
  <si>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</si>
  <si>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</si>
  <si>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</si>
  <si>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</si>
  <si>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</si>
  <si>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</si>
  <si>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</si>
  <si>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</si>
  <si>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</si>
  <si>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</si>
  <si>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</si>
  <si>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</si>
  <si>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</si>
  <si>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</si>
  <si>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</si>
  <si>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</si>
  <si>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</si>
  <si>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</si>
  <si>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</si>
  <si>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</si>
  <si>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</si>
  <si>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</si>
  <si>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</si>
  <si>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</si>
  <si>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</si>
  <si>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</si>
  <si>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</si>
  <si>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</si>
  <si>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</si>
  <si>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</si>
  <si>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</si>
  <si>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</si>
  <si>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</si>
  <si>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</si>
  <si>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</si>
  <si>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</si>
  <si>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</si>
  <si>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</si>
  <si>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</si>
  <si>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</si>
  <si>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</si>
  <si>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</si>
  <si>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</si>
  <si>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</si>
  <si>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</si>
  <si>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</si>
  <si>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</si>
  <si>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</si>
  <si>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</si>
  <si>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</si>
  <si>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</si>
  <si>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</si>
  <si>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</si>
  <si>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</si>
  <si>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</si>
  <si>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</si>
  <si>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</si>
  <si>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</si>
  <si>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</si>
  <si>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</si>
  <si>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</si>
  <si>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</si>
  <si>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</si>
  <si>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</si>
  <si>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</si>
  <si>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</si>
  <si>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</si>
  <si>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</si>
  <si>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</si>
  <si>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</si>
  <si>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</si>
  <si>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</si>
  <si>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</si>
  <si>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</si>
  <si>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</si>
  <si>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</si>
  <si>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</si>
  <si>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</si>
  <si>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</si>
  <si>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</si>
  <si>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</si>
  <si>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</si>
  <si>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</si>
  <si>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</si>
  <si>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</si>
  <si>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</si>
  <si>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</si>
  <si>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</si>
  <si>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</si>
  <si>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</si>
  <si>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</si>
  <si>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</si>
  <si>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</si>
  <si>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</si>
  <si>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</si>
  <si>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</si>
  <si>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</si>
  <si>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</si>
  <si>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</si>
  <si>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</si>
  <si>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</si>
  <si>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</si>
  <si>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</si>
  <si>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</si>
  <si>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</si>
  <si>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</si>
  <si>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</si>
  <si>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</si>
  <si>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</si>
  <si>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</si>
  <si>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</si>
  <si>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</si>
  <si>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</si>
  <si>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</si>
  <si>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</si>
  <si>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</si>
  <si>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</si>
  <si>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</si>
  <si>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</si>
  <si>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</si>
  <si>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</si>
  <si>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</si>
  <si>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</si>
  <si>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</si>
  <si>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</si>
  <si>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</si>
  <si>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</si>
  <si>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</si>
  <si>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</si>
  <si>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</si>
  <si>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</si>
  <si>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</si>
  <si>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</si>
  <si>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</si>
  <si>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</si>
  <si>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</si>
  <si>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</si>
  <si>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</si>
  <si>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</si>
  <si>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</si>
  <si>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</si>
  <si>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</si>
  <si>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</si>
  <si>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</si>
  <si>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</si>
  <si>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</si>
  <si>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</si>
  <si>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</si>
  <si>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</si>
  <si>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</si>
  <si>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</si>
  <si>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</si>
  <si>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</si>
  <si>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</si>
  <si>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</si>
  <si>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</si>
  <si>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</si>
  <si>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</si>
  <si>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</si>
  <si>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</si>
  <si>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</si>
  <si>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</si>
  <si>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</si>
  <si>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</si>
  <si>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</si>
  <si>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</si>
  <si>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</si>
  <si>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</si>
  <si>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</si>
  <si>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</si>
  <si>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</si>
  <si>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</si>
  <si>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</si>
  <si>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</si>
  <si>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</si>
  <si>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</si>
  <si>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</si>
  <si>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</si>
  <si>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</si>
  <si>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</si>
  <si>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</si>
  <si>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</si>
  <si>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</si>
  <si>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</si>
  <si>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</si>
  <si>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</si>
  <si>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</si>
  <si>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</si>
  <si>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</si>
  <si>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</si>
  <si>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</si>
  <si>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</si>
  <si>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</si>
  <si>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</si>
  <si>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</si>
  <si>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</si>
  <si>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</si>
  <si>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</si>
  <si>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</si>
  <si>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</si>
  <si>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</si>
  <si>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</si>
  <si>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</si>
  <si>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</si>
  <si>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</si>
  <si>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</si>
  <si>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</si>
  <si>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</si>
  <si>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</si>
  <si>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</si>
  <si>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</si>
  <si>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</si>
  <si>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</si>
  <si>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</si>
  <si>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</si>
  <si>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</si>
  <si>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</si>
  <si>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</si>
  <si>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</si>
  <si>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</si>
  <si>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</si>
  <si>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</si>
  <si>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</si>
  <si>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</si>
  <si>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</si>
  <si>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</si>
  <si>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</si>
  <si>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</si>
  <si>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</si>
  <si>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</si>
  <si>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</si>
  <si>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</si>
  <si>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</si>
  <si>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</si>
  <si>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</si>
  <si>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</si>
  <si>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</si>
  <si>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</si>
  <si>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</si>
  <si>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</si>
  <si>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</si>
  <si>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</si>
  <si>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</si>
  <si>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</si>
  <si>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</si>
  <si>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</si>
  <si>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</si>
  <si>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</si>
  <si>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</si>
  <si>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</si>
  <si>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</si>
  <si>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</si>
  <si>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</si>
  <si>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</si>
  <si>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</si>
  <si>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</si>
  <si>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</si>
  <si>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</si>
  <si>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</si>
  <si>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</si>
  <si>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</si>
  <si>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</si>
  <si>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</si>
  <si>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</si>
  <si>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</si>
  <si>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</si>
  <si>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</si>
  <si>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</si>
  <si>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</si>
  <si>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</si>
  <si>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</si>
  <si>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</si>
  <si>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</si>
  <si>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</si>
  <si>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</si>
  <si>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</si>
  <si>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</si>
  <si>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</si>
  <si>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</si>
  <si>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</si>
  <si>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</si>
  <si>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</si>
  <si>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</si>
  <si>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</si>
  <si>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</si>
  <si>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</si>
  <si>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</si>
  <si>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</si>
  <si>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</si>
  <si>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</si>
  <si>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</si>
  <si>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</si>
  <si>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</si>
  <si>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</si>
  <si>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</si>
  <si>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</si>
  <si>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</si>
  <si>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</si>
  <si>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</si>
  <si>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</si>
  <si>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</si>
  <si>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</si>
  <si>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</si>
  <si>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</si>
  <si>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</si>
  <si>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</si>
  <si>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</si>
  <si>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</si>
  <si>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</si>
  <si>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</si>
  <si>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</si>
  <si>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</si>
  <si>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</si>
  <si>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</si>
  <si>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</si>
  <si>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</si>
  <si>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</si>
  <si>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</si>
  <si>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</si>
  <si>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</si>
  <si>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</si>
  <si>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</si>
  <si>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</si>
  <si>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</si>
  <si>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</si>
  <si>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</si>
  <si>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</si>
  <si>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</si>
  <si>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</si>
  <si>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</si>
  <si>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</si>
  <si>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</si>
  <si>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</si>
  <si>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</si>
  <si>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</si>
  <si>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</si>
  <si>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</si>
  <si>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</si>
  <si>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</si>
  <si>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</si>
  <si>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</si>
  <si>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</si>
  <si>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</si>
  <si>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</si>
  <si>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</si>
  <si>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</si>
  <si>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</si>
  <si>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</si>
  <si>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</si>
  <si>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</si>
  <si>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</si>
  <si>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</si>
  <si>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</si>
  <si>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</si>
  <si>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</si>
  <si>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</si>
  <si>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</si>
  <si>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</si>
  <si>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</si>
  <si>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</si>
  <si>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</si>
  <si>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</si>
  <si>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</si>
  <si>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</si>
  <si>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</si>
  <si>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</si>
  <si>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</si>
  <si>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</si>
  <si>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</si>
  <si>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</si>
  <si>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</si>
  <si>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</si>
  <si>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</si>
  <si>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</si>
  <si>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</si>
  <si>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</si>
  <si>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</si>
  <si>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</si>
  <si>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</si>
  <si>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</si>
  <si>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</si>
  <si>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</si>
  <si>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</si>
  <si>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</si>
  <si>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</si>
  <si>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</si>
  <si>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</si>
  <si>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</si>
  <si>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</si>
  <si>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</si>
  <si>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</si>
  <si>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</si>
  <si>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</si>
  <si>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</si>
  <si>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</si>
  <si>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</si>
  <si>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</si>
  <si>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</si>
  <si>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</si>
  <si>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</si>
  <si>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</si>
  <si>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</si>
  <si>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</si>
  <si>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</si>
  <si>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</si>
  <si>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</si>
  <si>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</si>
  <si>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</si>
  <si>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</si>
  <si>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</si>
  <si>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</si>
  <si>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</si>
  <si>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</si>
  <si>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</si>
  <si>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</si>
  <si>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</si>
  <si>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</si>
  <si>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</si>
  <si>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</si>
  <si>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</si>
  <si>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</si>
  <si>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</si>
  <si>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</si>
  <si>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</si>
  <si>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</si>
  <si>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</si>
  <si>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</si>
  <si>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</si>
  <si>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</si>
  <si>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</si>
  <si>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</si>
  <si>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</si>
  <si>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</si>
  <si>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</si>
  <si>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</si>
  <si>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</si>
  <si>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</si>
  <si>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</si>
  <si>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</si>
  <si>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</si>
  <si>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</si>
  <si>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</si>
  <si>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</si>
  <si>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</si>
  <si>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</si>
  <si>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</si>
  <si>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</si>
  <si>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</si>
  <si>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</si>
  <si>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</si>
  <si>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</si>
  <si>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</si>
  <si>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</si>
  <si>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</si>
  <si>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</si>
  <si>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</si>
  <si>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</si>
  <si>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</si>
  <si>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</si>
  <si>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</si>
  <si>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</si>
  <si>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</si>
  <si>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</si>
  <si>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</si>
  <si>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</si>
  <si>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</si>
  <si>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</si>
  <si>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</si>
  <si>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</si>
  <si>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</si>
  <si>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</si>
  <si>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</si>
  <si>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</si>
  <si>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</si>
  <si>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</si>
  <si>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</si>
  <si>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</si>
  <si>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</si>
  <si>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</si>
  <si>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</si>
  <si>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</si>
  <si>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</si>
  <si>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</si>
  <si>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</si>
  <si>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</si>
  <si>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</si>
  <si>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</si>
  <si>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</si>
  <si>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</si>
  <si>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</si>
  <si>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</si>
  <si>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</si>
  <si>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</si>
  <si>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</si>
  <si>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</si>
  <si>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</si>
  <si>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</si>
  <si>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</si>
  <si>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</si>
  <si>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</si>
  <si>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</si>
  <si>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</si>
  <si>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</si>
  <si>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</si>
  <si>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</si>
  <si>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</si>
  <si>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</si>
  <si>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</si>
  <si>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</si>
  <si>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</si>
  <si>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</si>
  <si>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</si>
  <si>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</si>
  <si>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</si>
  <si>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</si>
  <si>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</si>
  <si>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</si>
  <si>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</si>
  <si>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</si>
  <si>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</si>
  <si>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</si>
  <si>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</si>
  <si>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</si>
  <si>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</si>
  <si>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</si>
  <si>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</si>
  <si>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</si>
  <si>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</si>
  <si>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</si>
  <si>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</si>
  <si>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</si>
  <si>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</si>
  <si>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</si>
  <si>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</si>
  <si>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</si>
  <si>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</si>
  <si>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</si>
  <si>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</si>
  <si>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</si>
  <si>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</si>
  <si>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</si>
  <si>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</si>
  <si>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</si>
  <si>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</si>
  <si>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</si>
  <si>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</si>
  <si>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</si>
  <si>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</si>
  <si>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</si>
  <si>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</si>
  <si>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</si>
  <si>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</si>
  <si>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</si>
  <si>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</si>
  <si>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</si>
  <si>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</si>
  <si>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</si>
  <si>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</si>
  <si>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</si>
  <si>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</si>
  <si>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</si>
  <si>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</si>
  <si>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</si>
  <si>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</si>
  <si>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</si>
  <si>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</si>
  <si>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</si>
  <si>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</si>
  <si>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</si>
  <si>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</si>
  <si>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</si>
  <si>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</si>
  <si>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</si>
  <si>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</si>
  <si>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</si>
  <si>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</si>
  <si>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</si>
  <si>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</si>
  <si>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</si>
  <si>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</si>
  <si>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</si>
  <si>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</si>
  <si>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</si>
  <si>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</si>
  <si>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</si>
  <si>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</si>
  <si>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</si>
  <si>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</si>
  <si>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</si>
  <si>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</si>
  <si>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</si>
  <si>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</si>
  <si>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</si>
  <si>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</si>
  <si>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</si>
  <si>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</si>
  <si>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</si>
  <si>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</si>
  <si>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</si>
  <si>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</si>
  <si>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</si>
  <si>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</si>
  <si>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</si>
  <si>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</si>
  <si>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</si>
  <si>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</si>
  <si>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</si>
  <si>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</si>
  <si>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</si>
  <si>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</si>
  <si>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</si>
  <si>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</si>
  <si>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</si>
  <si>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</si>
  <si>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</si>
  <si>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</si>
  <si>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</si>
  <si>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</si>
  <si>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</si>
  <si>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</si>
  <si>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</si>
  <si>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</si>
  <si>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</si>
  <si>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</si>
  <si>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</si>
  <si>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</si>
  <si>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</si>
  <si>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</si>
  <si>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</si>
  <si>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</si>
  <si>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</si>
  <si>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</si>
  <si>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</si>
  <si>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</si>
  <si>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</si>
  <si>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</si>
  <si>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</si>
  <si>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</si>
  <si>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</si>
  <si>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</si>
  <si>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</si>
  <si>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</si>
  <si>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</si>
  <si>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</si>
  <si>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</si>
  <si>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</si>
  <si>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</si>
  <si>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</si>
  <si>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</si>
  <si>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</si>
  <si>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</si>
  <si>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</si>
  <si>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</si>
  <si>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</si>
  <si>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</si>
  <si>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</si>
  <si>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</si>
  <si>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</si>
  <si>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</si>
  <si>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</si>
  <si>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</si>
  <si>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</si>
  <si>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</si>
  <si>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</si>
  <si>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</si>
  <si>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</si>
  <si>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</si>
  <si>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</si>
  <si>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</si>
  <si>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</si>
  <si>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</si>
  <si>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</si>
  <si>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</si>
  <si>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</si>
  <si>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</si>
  <si>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</si>
  <si>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</si>
  <si>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</si>
  <si>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</si>
  <si>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</si>
  <si>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</si>
  <si>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</si>
  <si>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</si>
  <si>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</si>
  <si>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</si>
  <si>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</si>
  <si>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</si>
  <si>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</si>
  <si>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</si>
  <si>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</si>
  <si>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</si>
  <si>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</si>
  <si>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</si>
  <si>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</si>
  <si>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</si>
  <si>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</si>
  <si>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</si>
  <si>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</si>
  <si>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</si>
  <si>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</si>
  <si>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</si>
  <si>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</si>
  <si>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</si>
  <si>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</si>
  <si>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</si>
  <si>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</si>
  <si>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</si>
  <si>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</si>
  <si>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</si>
  <si>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</si>
  <si>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</si>
  <si>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</si>
  <si>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</si>
  <si>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</si>
  <si>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</si>
  <si>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</si>
  <si>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</si>
  <si>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</si>
  <si>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</si>
  <si>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</si>
  <si>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</si>
  <si>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</si>
  <si>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</si>
  <si>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</si>
  <si>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</si>
  <si>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</si>
  <si>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</si>
  <si>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</si>
  <si>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</si>
  <si>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</si>
  <si>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</si>
  <si>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</si>
  <si>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</si>
  <si>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</si>
  <si>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</si>
  <si>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</si>
  <si>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</si>
  <si>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</si>
  <si>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</si>
  <si>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</si>
  <si>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</si>
  <si>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</si>
  <si>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</si>
  <si>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</si>
  <si>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</si>
  <si>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</si>
  <si>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</si>
  <si>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</si>
  <si>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</si>
  <si>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</si>
  <si>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</si>
  <si>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</si>
  <si>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</si>
  <si>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</si>
  <si>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</si>
  <si>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</si>
  <si>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</si>
  <si>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</si>
  <si>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</si>
  <si>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</si>
  <si>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</si>
  <si>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</si>
  <si>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</si>
  <si>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</si>
  <si>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</si>
  <si>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</si>
  <si>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</si>
  <si>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</si>
  <si>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</si>
  <si>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</si>
  <si>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</si>
  <si>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</si>
  <si>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</si>
  <si>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</si>
  <si>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</si>
  <si>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</si>
  <si>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</si>
  <si>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</si>
  <si>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</si>
  <si>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</si>
  <si>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</si>
  <si>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</si>
  <si>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</si>
  <si>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</si>
  <si>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</si>
  <si>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</si>
  <si>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</si>
  <si>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</si>
  <si>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</si>
  <si>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</si>
  <si>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</si>
  <si>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</si>
  <si>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</si>
  <si>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</si>
  <si>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</si>
  <si>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</si>
  <si>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</si>
  <si>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</si>
  <si>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</si>
  <si>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</si>
  <si>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</si>
  <si>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</si>
  <si>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</si>
  <si>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</si>
  <si>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</si>
  <si>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</si>
  <si>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</si>
  <si>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</si>
  <si>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</si>
  <si>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</si>
  <si>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</si>
  <si>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</si>
  <si>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</si>
  <si>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</si>
  <si>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</si>
  <si>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</si>
  <si>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</si>
  <si>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</si>
  <si>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</si>
  <si>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</si>
  <si>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</si>
  <si>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</si>
  <si>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</si>
  <si>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</si>
  <si>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</si>
  <si>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</si>
  <si>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</si>
  <si>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</si>
  <si>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</si>
  <si>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</si>
  <si>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</si>
  <si>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</si>
  <si>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</si>
  <si>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</si>
  <si>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</si>
  <si>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</si>
  <si>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</si>
  <si>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</si>
  <si>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</si>
  <si>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</si>
  <si>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</si>
  <si>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</si>
  <si>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</si>
  <si>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</si>
  <si>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</si>
  <si>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</si>
  <si>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</si>
  <si>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</si>
  <si>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</si>
  <si>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</si>
  <si>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</si>
  <si>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</si>
  <si>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</si>
  <si>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</si>
  <si>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</si>
  <si>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</si>
  <si>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</si>
  <si>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</si>
  <si>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</si>
  <si>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</si>
  <si>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</si>
  <si>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</si>
  <si>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</si>
  <si>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</si>
  <si>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</si>
  <si>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</si>
  <si>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</si>
  <si>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</si>
  <si>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</si>
  <si>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</si>
  <si>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</si>
  <si>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</si>
  <si>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</si>
  <si>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</si>
  <si>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</si>
  <si>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</si>
  <si>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</si>
  <si>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</si>
  <si>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</si>
  <si>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</si>
  <si>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</si>
  <si>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</si>
  <si>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</si>
  <si>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</si>
  <si>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</si>
  <si>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</si>
  <si>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</si>
  <si>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</si>
  <si>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</si>
  <si>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</si>
  <si>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</si>
  <si>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</si>
  <si>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</si>
  <si>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</si>
  <si>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</si>
  <si>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</si>
  <si>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</si>
  <si>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</si>
  <si>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</si>
  <si>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</si>
  <si>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</si>
  <si>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</si>
  <si>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</si>
  <si>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</si>
  <si>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</si>
  <si>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</si>
  <si>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</si>
  <si>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</si>
  <si>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</si>
  <si>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</si>
  <si>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</si>
  <si>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</si>
  <si>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</si>
  <si>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</si>
  <si>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</si>
  <si>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</si>
  <si>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</si>
  <si>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</si>
  <si>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</si>
  <si>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</si>
  <si>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</si>
  <si>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</si>
  <si>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</si>
  <si>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</si>
  <si>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</si>
  <si>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</si>
  <si>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</si>
  <si>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</si>
  <si>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</si>
  <si>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</si>
  <si>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</si>
  <si>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</si>
  <si>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</si>
  <si>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</si>
  <si>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</si>
  <si>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</si>
  <si>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</si>
  <si>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</si>
  <si>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</si>
  <si>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</si>
  <si>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</si>
  <si>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</si>
  <si>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</si>
  <si>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</si>
  <si>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</si>
  <si>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</si>
  <si>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</si>
  <si>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</si>
  <si>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</si>
  <si>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</si>
  <si>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</si>
  <si>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</si>
  <si>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</si>
  <si>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</si>
  <si>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</si>
  <si>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</si>
  <si>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</si>
  <si>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</si>
  <si>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</si>
  <si>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</si>
  <si>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</si>
  <si>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</si>
  <si>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</si>
  <si>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</si>
  <si>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</si>
  <si>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</si>
  <si>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</si>
  <si>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</si>
  <si>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</si>
  <si>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</si>
  <si>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</si>
  <si>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</si>
  <si>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</si>
  <si>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</si>
  <si>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</si>
  <si>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</si>
  <si>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</si>
  <si>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</si>
  <si>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</si>
  <si>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</si>
  <si>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</si>
  <si>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</si>
  <si>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</si>
  <si>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</si>
  <si>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</si>
  <si>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</si>
  <si>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</si>
  <si>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</si>
  <si>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</si>
  <si>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</si>
  <si>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</si>
  <si>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</si>
  <si>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</si>
  <si>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</si>
  <si>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</si>
  <si>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</si>
  <si>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</si>
  <si>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</si>
  <si>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</si>
  <si>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</si>
  <si>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</si>
  <si>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</si>
  <si>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</si>
  <si>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</si>
  <si>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</si>
  <si>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</si>
  <si>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</si>
  <si>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</si>
  <si>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</si>
  <si>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</si>
  <si>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</si>
  <si>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</si>
  <si>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</si>
  <si>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</si>
  <si>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</si>
  <si>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</si>
  <si>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</si>
  <si>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</si>
  <si>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</si>
  <si>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</si>
  <si>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</si>
  <si>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</si>
  <si>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</si>
  <si>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</si>
  <si>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</si>
  <si>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</si>
  <si>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</si>
  <si>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</si>
  <si>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</si>
  <si>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</si>
  <si>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</si>
  <si>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</si>
  <si>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</si>
  <si>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</si>
  <si>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</si>
  <si>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</si>
  <si>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</si>
  <si>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</si>
  <si>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</si>
  <si>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</si>
  <si>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</si>
  <si>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</si>
  <si>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</si>
  <si>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</si>
  <si>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</si>
  <si>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</si>
  <si>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</si>
  <si>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</si>
  <si>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</si>
  <si>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</si>
  <si>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</si>
  <si>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</si>
  <si>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</si>
  <si>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</si>
  <si>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</si>
  <si>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</si>
  <si>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</si>
  <si>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</si>
  <si>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</si>
  <si>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</si>
  <si>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</si>
  <si>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</si>
  <si>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</si>
  <si>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</si>
  <si>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</si>
  <si>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</si>
  <si>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</si>
  <si>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</si>
  <si>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</si>
  <si>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</si>
  <si>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</si>
  <si>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</si>
  <si>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</si>
  <si>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</si>
  <si>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</si>
  <si>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</si>
  <si>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</si>
  <si>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</si>
  <si>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</si>
  <si>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</si>
  <si>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</si>
  <si>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</si>
  <si>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</si>
  <si>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</si>
  <si>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</si>
  <si>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</si>
  <si>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</si>
  <si>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</si>
  <si>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</si>
  <si>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</si>
  <si>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</si>
  <si>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</si>
  <si>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</si>
  <si>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</si>
  <si>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</si>
  <si>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</si>
  <si>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</si>
  <si>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</si>
  <si>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</si>
  <si>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</si>
  <si>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</si>
  <si>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</si>
  <si>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</si>
  <si>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</si>
  <si>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</si>
  <si>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</si>
  <si>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</si>
  <si>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</si>
  <si>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</si>
  <si>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</si>
  <si>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</si>
  <si>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</si>
  <si>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</si>
  <si>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</si>
  <si>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</si>
  <si>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</si>
  <si>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</si>
  <si>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</si>
  <si>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</si>
  <si>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</si>
  <si>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</si>
  <si>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</si>
  <si>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</si>
  <si>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</si>
  <si>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</si>
  <si>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</si>
  <si>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</si>
  <si>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</si>
  <si>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</si>
  <si>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</si>
  <si>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</si>
  <si>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</si>
  <si>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</si>
  <si>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</si>
  <si>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</si>
  <si>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</si>
  <si>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</si>
  <si>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</si>
  <si>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</si>
  <si>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</si>
  <si>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</si>
  <si>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</si>
  <si>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</si>
  <si>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</si>
  <si>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</si>
  <si>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</si>
  <si>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</si>
  <si>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</si>
  <si>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</si>
  <si>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</si>
  <si>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</si>
  <si>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</si>
  <si>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</si>
  <si>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</si>
  <si>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</si>
  <si>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</si>
  <si>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</si>
  <si>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</si>
  <si>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</si>
  <si>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</si>
  <si>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</si>
  <si>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</si>
  <si>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</si>
  <si>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</si>
  <si>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</si>
  <si>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</si>
  <si>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</si>
  <si>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</si>
  <si>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</si>
  <si>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</si>
  <si>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</si>
  <si>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</si>
  <si>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</si>
  <si>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</si>
  <si>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</si>
  <si>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</si>
  <si>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</si>
  <si>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</si>
  <si>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</si>
  <si>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</si>
  <si>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</si>
  <si>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</si>
  <si>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</si>
  <si>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</si>
  <si>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</si>
  <si>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</si>
  <si>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</si>
  <si>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</si>
  <si>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</si>
  <si>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</si>
  <si>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</si>
  <si>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</si>
  <si>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</si>
  <si>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</si>
  <si>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</si>
  <si>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</si>
  <si>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</si>
  <si>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</si>
  <si>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</si>
  <si>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</si>
  <si>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</si>
  <si>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</si>
  <si>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</si>
  <si>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</si>
  <si>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</si>
  <si>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</si>
  <si>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</si>
  <si>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</si>
  <si>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</si>
  <si>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</si>
  <si>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</si>
  <si>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</si>
  <si>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</si>
  <si>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</si>
  <si>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</si>
  <si>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</si>
  <si>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</si>
  <si>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</si>
  <si>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</si>
  <si>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</si>
  <si>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</si>
  <si>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</si>
  <si>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</si>
  <si>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</si>
  <si>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</si>
  <si>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</si>
  <si>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</si>
  <si>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</si>
  <si>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</si>
  <si>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</si>
  <si>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</si>
  <si>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</si>
  <si>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</si>
  <si>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</si>
  <si>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</si>
  <si>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</si>
  <si>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</si>
  <si>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</si>
  <si>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</si>
  <si>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</si>
  <si>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</si>
  <si>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</si>
  <si>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</si>
  <si>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</si>
  <si>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</si>
  <si>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</si>
  <si>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</si>
  <si>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</si>
  <si>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</si>
  <si>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</si>
  <si>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</si>
  <si>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</si>
  <si>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</si>
  <si>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</si>
  <si>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</si>
  <si>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</si>
  <si>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</si>
  <si>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</si>
  <si>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</si>
  <si>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</si>
  <si>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</si>
  <si>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</si>
  <si>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</si>
  <si>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</si>
  <si>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</si>
  <si>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</si>
  <si>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</si>
  <si>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</si>
  <si>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</si>
  <si>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</si>
  <si>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</si>
  <si>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</si>
  <si>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</si>
  <si>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</si>
  <si>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</si>
  <si>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</si>
  <si>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</si>
  <si>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</si>
  <si>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</si>
  <si>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</si>
  <si>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</si>
  <si>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</si>
  <si>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</si>
  <si>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</si>
  <si>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</si>
  <si>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</si>
  <si>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</si>
  <si>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</si>
  <si>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</si>
  <si>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</si>
  <si>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</si>
  <si>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</si>
  <si>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</si>
  <si>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</si>
  <si>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</si>
  <si>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</si>
  <si>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</si>
  <si>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</si>
  <si>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</si>
  <si>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</si>
  <si>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</si>
  <si>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</si>
  <si>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</si>
  <si>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</si>
  <si>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</si>
  <si>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</si>
  <si>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</si>
  <si>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</si>
  <si>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</si>
  <si>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</si>
  <si>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</si>
  <si>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</si>
  <si>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</si>
  <si>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</si>
  <si>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</si>
  <si>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</si>
  <si>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</si>
  <si>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</si>
  <si>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</si>
  <si>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</si>
  <si>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</si>
  <si>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</si>
  <si>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</si>
  <si>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</si>
  <si>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</si>
  <si>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</si>
  <si>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</si>
  <si>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</si>
  <si>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</si>
  <si>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</si>
  <si>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</si>
  <si>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</si>
  <si>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</si>
  <si>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</si>
  <si>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</si>
  <si>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</si>
  <si>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</si>
  <si>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</si>
  <si>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</si>
  <si>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</si>
  <si>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</si>
  <si>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</si>
  <si>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</si>
  <si>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</si>
  <si>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</si>
  <si>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</si>
  <si>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</si>
  <si>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</si>
  <si>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</si>
  <si>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</si>
  <si>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</si>
  <si>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</si>
  <si>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</si>
  <si>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</si>
  <si>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</si>
  <si>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</si>
  <si>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</si>
  <si>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</si>
  <si>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</si>
  <si>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</si>
  <si>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</si>
  <si>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</si>
  <si>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</si>
  <si>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</si>
  <si>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</si>
  <si>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</si>
  <si>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</si>
  <si>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</si>
  <si>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</si>
  <si>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</si>
  <si>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</si>
  <si>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</si>
  <si>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</si>
  <si>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</si>
  <si>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</si>
  <si>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</si>
  <si>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</si>
  <si>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</si>
  <si>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</si>
  <si>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</si>
  <si>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</si>
  <si>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</si>
  <si>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</si>
  <si>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</si>
  <si>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</si>
  <si>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</si>
  <si>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</si>
  <si>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</si>
  <si>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</si>
  <si>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</si>
  <si>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</si>
  <si>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</si>
  <si>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</si>
  <si>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</si>
  <si>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</si>
  <si>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</si>
  <si>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</si>
  <si>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</si>
  <si>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</si>
  <si>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</si>
  <si>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</si>
  <si>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</si>
  <si>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</si>
  <si>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</si>
  <si>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</si>
  <si>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</si>
  <si>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</si>
  <si>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</si>
  <si>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</si>
  <si>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</si>
  <si>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</si>
  <si>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</si>
  <si>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</si>
  <si>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</si>
  <si>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</si>
  <si>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</si>
  <si>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</si>
  <si>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</si>
  <si>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</si>
  <si>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</si>
  <si>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</si>
  <si>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</si>
  <si>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</si>
  <si>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</si>
  <si>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</si>
  <si>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</si>
  <si>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</si>
  <si>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</si>
  <si>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</si>
  <si>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</si>
  <si>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</si>
  <si>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</si>
  <si>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</si>
  <si>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</si>
  <si>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</si>
  <si>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</si>
  <si>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</si>
  <si>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</si>
  <si>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</si>
  <si>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</si>
  <si>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</si>
  <si>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</si>
  <si>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</si>
  <si>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</si>
  <si>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</si>
  <si>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</si>
  <si>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</si>
  <si>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</si>
  <si>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</si>
  <si>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</si>
  <si>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</si>
  <si>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</si>
  <si>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</si>
  <si>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</si>
  <si>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</si>
  <si>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</si>
  <si>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</si>
  <si>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</si>
  <si>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</si>
  <si>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</si>
  <si>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</si>
  <si>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</si>
  <si>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</si>
  <si>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</si>
  <si>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</si>
  <si>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</si>
  <si>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</si>
  <si>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</si>
  <si>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</si>
  <si>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</si>
  <si>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</si>
  <si>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</si>
  <si>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</si>
  <si>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</si>
  <si>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</si>
  <si>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</si>
  <si>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</si>
  <si>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</si>
  <si>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</si>
  <si>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</si>
  <si>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</si>
  <si>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</si>
  <si>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</si>
  <si>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</si>
  <si>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</si>
  <si>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</si>
  <si>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</si>
  <si>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</si>
  <si>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</si>
  <si>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</si>
  <si>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</si>
  <si>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</si>
  <si>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</si>
  <si>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</si>
  <si>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</si>
  <si>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</si>
  <si>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</si>
  <si>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</si>
  <si>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</si>
  <si>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</si>
  <si>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</si>
  <si>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</si>
  <si>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</si>
  <si>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</si>
  <si>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</si>
  <si>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</si>
  <si>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</si>
  <si>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</si>
  <si>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</si>
  <si>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</si>
  <si>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</si>
  <si>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</si>
  <si>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</si>
  <si>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</si>
  <si>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</si>
  <si>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</si>
  <si>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</si>
  <si>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</si>
  <si>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</si>
  <si>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</si>
  <si>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</si>
  <si>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</si>
  <si>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</si>
  <si>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</si>
  <si>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</si>
  <si>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</si>
  <si>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</si>
  <si>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</si>
  <si>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</si>
  <si>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</si>
  <si>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</si>
  <si>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</si>
  <si>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</si>
  <si>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</si>
  <si>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</si>
  <si>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</si>
  <si>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</si>
  <si>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</si>
  <si>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</si>
  <si>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</si>
  <si>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</si>
  <si>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</si>
  <si>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</si>
  <si>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</si>
  <si>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</si>
  <si>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</si>
  <si>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</si>
  <si>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</si>
  <si>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</si>
  <si>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</si>
  <si>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</si>
  <si>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</si>
  <si>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</si>
  <si>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</si>
  <si>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</si>
  <si>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</si>
  <si>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</si>
  <si>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</si>
  <si>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</si>
  <si>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</si>
  <si>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</si>
  <si>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</si>
  <si>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</si>
  <si>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</si>
  <si>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</si>
  <si>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</si>
  <si>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</si>
  <si>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</si>
  <si>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</si>
  <si>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</si>
  <si>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</si>
  <si>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</si>
  <si>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</si>
  <si>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</si>
  <si>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</si>
  <si>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</si>
  <si>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</si>
  <si>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</si>
  <si>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</si>
  <si>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</si>
  <si>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</si>
  <si>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</si>
  <si>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</si>
  <si>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</si>
  <si>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</si>
  <si>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</si>
  <si>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</si>
  <si>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</si>
  <si>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</si>
  <si>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</si>
  <si>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</si>
  <si>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</si>
  <si>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</si>
  <si>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</si>
  <si>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</si>
  <si>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</si>
  <si>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</si>
  <si>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</si>
  <si>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</si>
  <si>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</si>
  <si>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</si>
  <si>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</si>
  <si>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</si>
  <si>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</si>
  <si>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</si>
  <si>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</si>
  <si>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</si>
  <si>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</si>
  <si>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</si>
  <si>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</si>
  <si>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</si>
  <si>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</si>
  <si>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</si>
  <si>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</si>
  <si>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</si>
  <si>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</si>
  <si>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</si>
  <si>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</si>
  <si>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</si>
  <si>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</si>
  <si>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</si>
  <si>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</si>
  <si>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</si>
  <si>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</si>
  <si>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</si>
  <si>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</si>
  <si>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</si>
  <si>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</si>
  <si>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</si>
  <si>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</si>
  <si>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</si>
  <si>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</si>
  <si>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</si>
  <si>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</si>
  <si>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</si>
  <si>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</si>
  <si>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</si>
  <si>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</si>
  <si>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</si>
  <si>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</si>
  <si>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</si>
  <si>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</si>
  <si>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</si>
  <si>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</si>
  <si>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</si>
  <si>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</si>
  <si>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</si>
  <si>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</si>
  <si>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</si>
  <si>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</si>
  <si>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</si>
  <si>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</si>
  <si>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</si>
  <si>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</si>
  <si>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</si>
  <si>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</si>
  <si>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</si>
  <si>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</si>
  <si>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</si>
  <si>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</si>
  <si>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</si>
  <si>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</si>
  <si>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</si>
  <si>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</si>
  <si>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</si>
  <si>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</si>
  <si>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</si>
  <si>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</si>
  <si>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</si>
  <si>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</si>
  <si>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</si>
  <si>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</si>
  <si>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</si>
  <si>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</si>
  <si>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</si>
  <si>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</si>
  <si>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</si>
  <si>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</si>
  <si>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</si>
  <si>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</si>
  <si>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</si>
  <si>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</si>
  <si>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</si>
  <si>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</si>
  <si>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</si>
  <si>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</si>
  <si>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</si>
  <si>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</si>
  <si>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</si>
  <si>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</si>
  <si>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</si>
  <si>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</si>
  <si>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</si>
  <si>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</si>
  <si>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</si>
  <si>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</si>
  <si>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</si>
  <si>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</si>
  <si>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</si>
  <si>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</si>
  <si>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</si>
  <si>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</si>
  <si>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</si>
  <si>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</si>
  <si>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</si>
  <si>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</si>
  <si>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</si>
  <si>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</si>
  <si>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</si>
  <si>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</si>
  <si>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</si>
  <si>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</si>
  <si>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</si>
  <si>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</si>
  <si>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</si>
  <si>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</si>
  <si>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</si>
  <si>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</si>
  <si>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</si>
  <si>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</si>
  <si>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</si>
  <si>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</si>
  <si>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</si>
  <si>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</si>
  <si>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</si>
  <si>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</si>
  <si>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</si>
  <si>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</si>
  <si>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</si>
  <si>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</si>
  <si>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</si>
  <si>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</si>
  <si>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</si>
  <si>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</si>
  <si>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</si>
  <si>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</si>
  <si>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</si>
  <si>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</si>
  <si>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</si>
  <si>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</si>
  <si>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</si>
  <si>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</si>
  <si>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</si>
  <si>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</si>
  <si>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</si>
  <si>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</si>
  <si>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</si>
  <si>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</si>
  <si>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</si>
  <si>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</si>
  <si>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</si>
  <si>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</si>
  <si>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</si>
  <si>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</si>
  <si>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</si>
  <si>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</si>
  <si>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</si>
  <si>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</si>
  <si>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</si>
  <si>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</si>
  <si>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</si>
  <si>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</si>
  <si>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</si>
  <si>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</si>
  <si>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</si>
  <si>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</si>
  <si>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</si>
  <si>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</si>
  <si>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</si>
  <si>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</si>
  <si>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</si>
  <si>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</si>
  <si>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</si>
  <si>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</si>
  <si>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</si>
  <si>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</si>
  <si>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</si>
  <si>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</si>
  <si>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</si>
  <si>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</si>
  <si>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</si>
  <si>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</si>
  <si>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</si>
  <si>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</si>
  <si>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</si>
  <si>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</si>
  <si>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</si>
  <si>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</si>
  <si>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</si>
  <si>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</si>
  <si>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</si>
  <si>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</si>
  <si>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</si>
  <si>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</si>
  <si>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</si>
  <si>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</si>
  <si>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</si>
  <si>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</si>
  <si>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</si>
  <si>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</si>
  <si>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</si>
  <si>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</si>
  <si>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</si>
  <si>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</si>
  <si>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</si>
  <si>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</si>
  <si>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</si>
  <si>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</si>
  <si>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</si>
  <si>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</si>
  <si>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</si>
  <si>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</si>
  <si>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</si>
  <si>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</si>
  <si>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</si>
  <si>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</si>
  <si>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</si>
  <si>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</si>
  <si>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</si>
  <si>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</si>
  <si>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</si>
  <si>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</si>
  <si>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</si>
  <si>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</si>
  <si>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</si>
  <si>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</si>
  <si>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</si>
  <si>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</si>
  <si>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</si>
  <si>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</si>
  <si>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</si>
  <si>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</si>
  <si>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</si>
  <si>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</si>
  <si>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</si>
  <si>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</si>
  <si>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</si>
  <si>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</si>
  <si>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</si>
  <si>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</si>
  <si>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</si>
  <si>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</si>
  <si>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</si>
  <si>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</si>
  <si>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</si>
  <si>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</si>
  <si>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</si>
  <si>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</si>
  <si>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</si>
  <si>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</si>
  <si>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</si>
  <si>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</si>
  <si>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</si>
  <si>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</si>
  <si>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</si>
  <si>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</si>
  <si>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</si>
  <si>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</si>
  <si>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</si>
  <si>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</si>
  <si>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</si>
  <si>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</si>
  <si>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</si>
  <si>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</si>
  <si>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</si>
  <si>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</si>
  <si>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</si>
  <si>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</si>
  <si>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</si>
  <si>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</si>
  <si>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</si>
  <si>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</si>
  <si>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</si>
  <si>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</si>
  <si>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</si>
  <si>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</si>
  <si>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</si>
  <si>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</si>
  <si>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</si>
  <si>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</si>
  <si>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</si>
  <si>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</si>
  <si>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</si>
  <si>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</si>
  <si>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</si>
  <si>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</si>
  <si>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</si>
  <si>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</si>
  <si>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</si>
  <si>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</si>
  <si>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</si>
  <si>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</si>
  <si>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</si>
  <si>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</si>
  <si>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</si>
  <si>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</si>
  <si>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</si>
  <si>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</si>
  <si>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</si>
  <si>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</si>
  <si>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</si>
  <si>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</si>
  <si>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</si>
  <si>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</si>
  <si>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</si>
  <si>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</si>
  <si>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</si>
  <si>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</si>
  <si>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</si>
  <si>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</si>
  <si>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</si>
  <si>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</si>
  <si>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</si>
  <si>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</si>
  <si>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</si>
  <si>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</si>
  <si>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</si>
  <si>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</si>
  <si>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</si>
  <si>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</si>
  <si>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</si>
  <si>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</si>
  <si>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</si>
  <si>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</si>
  <si>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</si>
  <si>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</si>
  <si>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</si>
  <si>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</si>
  <si>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</si>
  <si>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</si>
  <si>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</si>
  <si>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</si>
  <si>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</si>
  <si>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</si>
  <si>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</si>
  <si>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</si>
  <si>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</si>
  <si>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</si>
  <si>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</si>
  <si>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</si>
  <si>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</si>
  <si>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</si>
  <si>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</si>
  <si>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</si>
  <si>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</si>
  <si>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</si>
  <si>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</si>
  <si>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</si>
  <si>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</si>
  <si>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</si>
  <si>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</si>
  <si>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</si>
  <si>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</si>
  <si>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</si>
  <si>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</si>
  <si>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</si>
  <si>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</si>
  <si>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</si>
  <si>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</si>
  <si>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</si>
  <si>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</si>
  <si>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</si>
  <si>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</si>
  <si>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</si>
  <si>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</si>
  <si>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</si>
  <si>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</si>
  <si>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</si>
  <si>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</si>
  <si>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</si>
  <si>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</si>
  <si>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</si>
  <si>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</si>
  <si>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</si>
  <si>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</si>
  <si>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</si>
  <si>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</si>
  <si>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</si>
  <si>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</si>
  <si>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</si>
  <si>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</si>
  <si>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</si>
  <si>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</si>
  <si>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</si>
  <si>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</si>
  <si>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</si>
  <si>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</si>
  <si>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</si>
  <si>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</si>
  <si>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</si>
  <si>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</si>
  <si>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</si>
  <si>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</si>
  <si>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</si>
  <si>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</si>
  <si>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</si>
  <si>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</si>
  <si>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</si>
  <si>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</si>
  <si>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</si>
  <si>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</si>
  <si>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</si>
  <si>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</si>
  <si>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</si>
  <si>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</si>
  <si>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</si>
  <si>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</si>
  <si>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</si>
  <si>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</si>
  <si>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</si>
  <si>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</si>
  <si>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</si>
  <si>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</si>
  <si>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</si>
  <si>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</si>
  <si>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</si>
  <si>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</si>
  <si>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</si>
  <si>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</si>
  <si>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</si>
  <si>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</si>
  <si>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</si>
  <si>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</si>
  <si>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</si>
  <si>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</si>
  <si>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</si>
  <si>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</si>
  <si>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</si>
  <si>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</si>
  <si>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</si>
  <si>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</si>
  <si>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</si>
  <si>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</si>
  <si>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</si>
  <si>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</si>
  <si>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</si>
  <si>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</si>
  <si>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</si>
  <si>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</si>
  <si>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</si>
  <si>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</si>
  <si>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</si>
  <si>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</si>
  <si>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</si>
  <si>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</si>
  <si>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</si>
  <si>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</si>
  <si>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</si>
  <si>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</si>
  <si>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</si>
  <si>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</si>
  <si>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</si>
  <si>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</si>
  <si>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</si>
  <si>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</si>
  <si>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</si>
  <si>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</si>
  <si>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</si>
  <si>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</si>
  <si>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</si>
  <si>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</si>
  <si>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</si>
  <si>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</si>
  <si>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</si>
  <si>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</si>
  <si>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</si>
  <si>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</si>
  <si>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</si>
  <si>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</si>
  <si>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</si>
  <si>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</si>
  <si>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</si>
  <si>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</si>
  <si>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</si>
  <si>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</si>
  <si>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</si>
  <si>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</si>
  <si>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</si>
  <si>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</si>
  <si>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</si>
  <si>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</si>
  <si>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</si>
  <si>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</si>
  <si>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</si>
  <si>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</si>
  <si>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</si>
  <si>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</si>
  <si>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</si>
  <si>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</si>
  <si>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</si>
  <si>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</si>
  <si>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</si>
  <si>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</si>
  <si>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</si>
  <si>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</si>
  <si>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</si>
  <si>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</si>
  <si>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</si>
  <si>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</si>
  <si>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</si>
  <si>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</si>
  <si>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</si>
  <si>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</si>
  <si>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</si>
  <si>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</si>
  <si>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</si>
  <si>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</si>
  <si>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</si>
  <si>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</si>
  <si>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</si>
  <si>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</si>
  <si>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</si>
  <si>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</si>
  <si>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</si>
  <si>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</si>
  <si>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</si>
  <si>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</si>
  <si>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</si>
  <si>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</si>
  <si>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</si>
  <si>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</si>
  <si>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</si>
  <si>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</si>
  <si>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</si>
  <si>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</si>
  <si>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</si>
  <si>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</si>
  <si>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</si>
  <si>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</si>
  <si>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</si>
  <si>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</si>
  <si>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</si>
  <si>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</si>
  <si>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</si>
  <si>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</si>
  <si>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</si>
  <si>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</si>
  <si>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</si>
  <si>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</si>
  <si>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</si>
  <si>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</si>
  <si>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</si>
  <si>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</si>
  <si>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</si>
  <si>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</si>
  <si>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</si>
  <si>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</si>
  <si>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</si>
  <si>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</si>
  <si>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</si>
  <si>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</si>
  <si>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</si>
  <si>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</si>
  <si>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</si>
  <si>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</si>
  <si>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</si>
  <si>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</si>
  <si>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</si>
  <si>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</si>
  <si>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</si>
  <si>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</si>
  <si>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</si>
  <si>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</si>
  <si>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</si>
  <si>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</si>
  <si>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</si>
  <si>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</si>
  <si>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</si>
  <si>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</si>
  <si>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</si>
  <si>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</si>
  <si>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</si>
  <si>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</si>
  <si>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</si>
  <si>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</si>
  <si>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</si>
  <si>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</si>
  <si>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</si>
  <si>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</si>
  <si>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</si>
  <si>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</si>
  <si>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</si>
  <si>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</si>
  <si>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</si>
  <si>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</si>
  <si>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</si>
  <si>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</si>
  <si>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</si>
  <si>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</si>
  <si>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</si>
  <si>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</si>
  <si>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</si>
  <si>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</si>
  <si>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</si>
  <si>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</si>
  <si>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</si>
  <si>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</si>
  <si>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</si>
  <si>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</si>
  <si>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</si>
  <si>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</si>
  <si>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</si>
  <si>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</si>
  <si>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</si>
  <si>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</si>
  <si>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</si>
  <si>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</si>
  <si>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</si>
  <si>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</si>
  <si>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</si>
  <si>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</si>
  <si>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</si>
  <si>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</si>
  <si>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</si>
  <si>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</si>
  <si>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</si>
  <si>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</si>
  <si>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</si>
  <si>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</si>
  <si>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</si>
  <si>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</si>
  <si>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</si>
  <si>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</si>
  <si>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</si>
  <si>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</si>
  <si>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</si>
  <si>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</si>
  <si>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</si>
  <si>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</si>
  <si>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</si>
  <si>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</si>
  <si>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</si>
  <si>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</si>
  <si>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</si>
  <si>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</si>
  <si>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</si>
  <si>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</si>
  <si>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</si>
  <si>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</si>
  <si>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</si>
  <si>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</si>
  <si>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</si>
  <si>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</si>
  <si>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</si>
  <si>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</si>
  <si>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</si>
  <si>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</si>
  <si>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</si>
  <si>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</si>
  <si>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</si>
  <si>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</si>
  <si>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</si>
  <si>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</si>
  <si>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</si>
  <si>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</si>
  <si>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</si>
  <si>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</si>
  <si>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</si>
  <si>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</si>
  <si>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</si>
  <si>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</si>
  <si>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</si>
  <si>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</si>
  <si>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</si>
  <si>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</si>
  <si>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</si>
  <si>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</si>
  <si>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</si>
  <si>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</si>
  <si>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</si>
  <si>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</si>
  <si>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</si>
  <si>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</si>
  <si>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</si>
  <si>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</si>
  <si>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</si>
  <si>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</si>
  <si>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</si>
  <si>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</si>
  <si>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</si>
  <si>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</si>
  <si>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</si>
  <si>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</si>
  <si>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</si>
  <si>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</si>
  <si>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</si>
  <si>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</si>
  <si>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</si>
  <si>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</si>
  <si>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</si>
  <si>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</si>
  <si>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</si>
  <si>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</si>
  <si>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</si>
  <si>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</si>
  <si>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</si>
  <si>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</si>
  <si>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</si>
  <si>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</si>
  <si>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</si>
  <si>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</si>
  <si>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</si>
  <si>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</si>
  <si>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</si>
  <si>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</si>
  <si>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</si>
  <si>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</si>
  <si>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</si>
  <si>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</si>
  <si>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</si>
  <si>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</si>
  <si>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</si>
  <si>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</si>
  <si>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</si>
  <si>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</si>
  <si>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</si>
  <si>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</si>
  <si>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</si>
  <si>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</si>
  <si>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</si>
  <si>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</si>
  <si>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</si>
  <si>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</si>
  <si>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</si>
  <si>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</si>
  <si>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</si>
  <si>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</si>
  <si>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</si>
  <si>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</si>
  <si>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</si>
  <si>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</si>
  <si>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</si>
  <si>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</si>
  <si>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</si>
  <si>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</si>
  <si>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</si>
  <si>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</si>
  <si>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</si>
  <si>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</si>
  <si>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</si>
  <si>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</si>
  <si>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</si>
  <si>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</si>
  <si>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</si>
  <si>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</si>
  <si>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</si>
  <si>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</si>
  <si>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</si>
  <si>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</si>
  <si>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</si>
  <si>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</si>
  <si>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</si>
  <si>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</si>
  <si>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</si>
  <si>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</si>
  <si>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</si>
  <si>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</si>
  <si>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</si>
  <si>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</si>
  <si>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</si>
  <si>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</si>
  <si>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</si>
  <si>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</si>
  <si>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</si>
  <si>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</si>
  <si>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</si>
  <si>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</si>
  <si>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</si>
  <si>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</si>
  <si>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</si>
  <si>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</si>
  <si>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</si>
  <si>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</si>
  <si>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</si>
  <si>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</si>
  <si>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</si>
  <si>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</si>
  <si>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</si>
  <si>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</si>
  <si>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</si>
  <si>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</si>
  <si>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</si>
  <si>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</si>
  <si>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</si>
  <si>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</si>
  <si>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</si>
  <si>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</si>
  <si>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</si>
  <si>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</si>
  <si>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</si>
  <si>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</si>
  <si>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</si>
  <si>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</si>
  <si>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</si>
  <si>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</si>
  <si>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</si>
  <si>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</si>
  <si>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</si>
  <si>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</si>
  <si>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</si>
  <si>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</si>
  <si>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</si>
  <si>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</si>
  <si>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</si>
  <si>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</si>
  <si>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</si>
  <si>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</si>
  <si>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</si>
  <si>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</si>
  <si>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</si>
  <si>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</si>
  <si>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</si>
  <si>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</si>
  <si>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</si>
  <si>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</si>
  <si>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</si>
  <si>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</si>
  <si>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</si>
  <si>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</si>
  <si>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</si>
  <si>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</si>
  <si>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</si>
  <si>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</si>
  <si>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</si>
  <si>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</si>
  <si>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</si>
  <si>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</si>
  <si>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</si>
  <si>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</si>
  <si>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</si>
  <si>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</si>
  <si>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</si>
  <si>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</si>
  <si>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</si>
  <si>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</si>
  <si>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</si>
  <si>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</si>
  <si>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</si>
  <si>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</si>
  <si>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</si>
  <si>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</si>
  <si>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</si>
  <si>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</si>
  <si>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</si>
  <si>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</si>
  <si>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</si>
  <si>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</si>
  <si>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</si>
  <si>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</si>
  <si>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</si>
  <si>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</si>
  <si>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</si>
  <si>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</si>
  <si>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</si>
  <si>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</si>
  <si>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</si>
  <si>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</si>
  <si>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</si>
  <si>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</si>
  <si>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</si>
  <si>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</si>
  <si>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</si>
  <si>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</si>
  <si>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</si>
  <si>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</si>
  <si>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</si>
  <si>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</si>
  <si>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</si>
  <si>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</si>
  <si>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</si>
  <si>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</si>
  <si>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</si>
  <si>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</si>
  <si>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</si>
  <si>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</si>
  <si>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</si>
  <si>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</si>
  <si>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</si>
  <si>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</si>
  <si>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</si>
  <si>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</si>
  <si>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</si>
  <si>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</si>
  <si>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</si>
  <si>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</si>
  <si>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</si>
  <si>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</si>
  <si>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</si>
  <si>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</si>
  <si>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</si>
  <si>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</si>
  <si>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</si>
  <si>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</si>
  <si>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</si>
  <si>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</si>
  <si>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</si>
  <si>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</si>
  <si>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</si>
  <si>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</si>
  <si>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</si>
  <si>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</si>
  <si>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</si>
  <si>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</si>
  <si>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</si>
  <si>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</si>
  <si>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</si>
  <si>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</si>
  <si>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</si>
  <si>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</si>
  <si>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</si>
  <si>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</si>
  <si>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</si>
  <si>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</si>
  <si>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</si>
  <si>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</si>
  <si>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</si>
  <si>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</si>
  <si>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</si>
  <si>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</si>
  <si>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</si>
  <si>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</si>
  <si>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</si>
  <si>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</si>
  <si>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</si>
  <si>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</si>
  <si>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</si>
  <si>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</si>
  <si>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</si>
  <si>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</si>
  <si>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</si>
  <si>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</si>
  <si>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</si>
  <si>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</si>
  <si>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</si>
  <si>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</si>
  <si>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</si>
  <si>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</si>
  <si>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</si>
  <si>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</si>
  <si>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</si>
  <si>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</si>
  <si>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</si>
  <si>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</si>
  <si>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</si>
  <si>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</si>
  <si>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</si>
  <si>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</si>
  <si>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</si>
  <si>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</si>
  <si>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</si>
  <si>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</si>
  <si>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</si>
  <si>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</si>
  <si>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</si>
  <si>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</si>
  <si>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</si>
  <si>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</si>
  <si>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</si>
  <si>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</si>
  <si>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</si>
  <si>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</si>
  <si>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</si>
  <si>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</si>
  <si>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</si>
  <si>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</si>
  <si>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</si>
  <si>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</si>
  <si>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</si>
  <si>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</si>
  <si>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</si>
  <si>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</si>
  <si>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</si>
  <si>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</si>
  <si>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</si>
  <si>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</si>
  <si>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</si>
  <si>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</si>
  <si>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</si>
  <si>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</si>
  <si>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</si>
  <si>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</si>
  <si>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</si>
  <si>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</si>
  <si>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</si>
  <si>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</si>
  <si>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</si>
  <si>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</si>
  <si>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</si>
  <si>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</si>
  <si>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</si>
  <si>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</si>
  <si>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</si>
  <si>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</si>
  <si>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</si>
  <si>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</si>
  <si>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</si>
  <si>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</si>
  <si>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</si>
  <si>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</si>
  <si>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</si>
  <si>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</si>
  <si>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</si>
  <si>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</si>
  <si>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</si>
  <si>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</si>
  <si>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</si>
  <si>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</si>
  <si>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</si>
  <si>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</si>
  <si>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</si>
  <si>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</si>
  <si>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</si>
  <si>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</si>
  <si>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</si>
  <si>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</si>
  <si>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</si>
  <si>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</si>
  <si>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</si>
  <si>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</si>
  <si>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</si>
  <si>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</si>
  <si>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</si>
  <si>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</si>
  <si>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</si>
  <si>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</si>
  <si>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</si>
  <si>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</si>
  <si>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</si>
  <si>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</si>
  <si>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</si>
  <si>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</si>
  <si>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</si>
  <si>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</si>
  <si>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</si>
  <si>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</si>
  <si>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</si>
  <si>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</si>
  <si>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</si>
  <si>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</si>
  <si>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</si>
  <si>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</si>
  <si>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</si>
  <si>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</si>
  <si>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</si>
  <si>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</si>
  <si>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</si>
  <si>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</si>
  <si>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</si>
  <si>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</si>
  <si>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</si>
  <si>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</si>
  <si>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</si>
  <si>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</si>
  <si>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</si>
  <si>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</si>
  <si>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</si>
  <si>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</si>
  <si>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</si>
  <si>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</si>
  <si>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</si>
  <si>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</si>
  <si>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</si>
  <si>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</si>
  <si>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</si>
  <si>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</si>
  <si>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</si>
  <si>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</si>
  <si>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</si>
  <si>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</si>
  <si>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</si>
  <si>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</si>
  <si>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</si>
  <si>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</si>
  <si>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</si>
  <si>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</si>
  <si>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</si>
  <si>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</si>
  <si>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</si>
  <si>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</si>
  <si>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</si>
  <si>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</si>
  <si>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</si>
  <si>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</si>
  <si>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</si>
  <si>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</si>
  <si>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</si>
  <si>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</si>
  <si>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</si>
  <si>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</si>
  <si>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</si>
  <si>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</si>
  <si>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</si>
  <si>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</si>
  <si>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</si>
  <si>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</si>
  <si>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</si>
  <si>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</si>
  <si>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</si>
  <si>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</si>
  <si>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</si>
  <si>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</si>
  <si>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</si>
  <si>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</si>
  <si>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</si>
  <si>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</si>
  <si>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</si>
  <si>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</si>
  <si>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</si>
  <si>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</si>
  <si>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</si>
  <si>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</si>
  <si>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</si>
  <si>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</si>
  <si>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</si>
  <si>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</si>
  <si>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</si>
  <si>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</si>
  <si>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</si>
  <si>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</si>
  <si>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</si>
  <si>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</si>
  <si>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</si>
  <si>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</si>
  <si>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</si>
  <si>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</si>
  <si>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</si>
  <si>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</si>
  <si>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</si>
  <si>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</si>
  <si>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</si>
  <si>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</si>
  <si>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</si>
  <si>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</si>
  <si>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</si>
  <si>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</si>
  <si>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</si>
  <si>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</si>
  <si>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</si>
  <si>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</si>
  <si>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</si>
  <si>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</si>
  <si>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</si>
  <si>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</si>
  <si>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</si>
  <si>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</si>
  <si>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</si>
  <si>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</si>
  <si>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</si>
  <si>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</si>
  <si>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</si>
  <si>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</si>
  <si>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</si>
  <si>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</si>
  <si>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</si>
  <si>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</si>
  <si>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</si>
  <si>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</si>
  <si>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</si>
  <si>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</si>
  <si>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</si>
  <si>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</si>
  <si>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</si>
  <si>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</si>
  <si>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</si>
  <si>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</si>
  <si>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</si>
  <si>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</si>
  <si>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</si>
  <si>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</si>
  <si>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</si>
  <si>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</si>
  <si>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</si>
  <si>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</si>
  <si>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</si>
  <si>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</si>
  <si>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</si>
  <si>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</si>
  <si>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</si>
  <si>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</si>
  <si>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</si>
  <si>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</si>
  <si>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</si>
  <si>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</si>
  <si>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</si>
  <si>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</si>
  <si>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</si>
  <si>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</si>
  <si>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</si>
  <si>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</si>
  <si>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</si>
  <si>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</si>
  <si>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</si>
  <si>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</si>
  <si>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</si>
  <si>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</si>
  <si>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</si>
  <si>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</si>
  <si>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</si>
  <si>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</si>
  <si>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</si>
  <si>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</si>
  <si>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</si>
  <si>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</si>
  <si>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</si>
  <si>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</si>
  <si>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</si>
  <si>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</si>
  <si>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</si>
  <si>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</si>
  <si>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</si>
  <si>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</si>
  <si>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</si>
  <si>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</si>
  <si>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</si>
  <si>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</si>
  <si>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</si>
  <si>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</si>
  <si>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</si>
  <si>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</si>
  <si>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</si>
  <si>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</si>
  <si>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</si>
  <si>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</si>
  <si>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</si>
  <si>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</si>
  <si>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</si>
  <si>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</si>
  <si>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</si>
  <si>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</si>
  <si>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</si>
  <si>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</si>
  <si>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</si>
  <si>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</si>
  <si>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</si>
  <si>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</si>
  <si>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</si>
  <si>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</si>
  <si>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</si>
  <si>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</si>
  <si>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</si>
  <si>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</si>
  <si>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</si>
  <si>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</si>
  <si>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</si>
  <si>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</si>
  <si>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</si>
  <si>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</si>
  <si>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</si>
  <si>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</si>
  <si>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</si>
  <si>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</si>
  <si>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</si>
  <si>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</si>
  <si>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</si>
  <si>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</si>
  <si>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</si>
  <si>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</si>
  <si>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</si>
  <si>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</si>
  <si>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</si>
  <si>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</si>
  <si>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</si>
  <si>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</si>
  <si>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</si>
  <si>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</si>
  <si>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</si>
  <si>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</si>
  <si>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</si>
  <si>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</si>
  <si>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</si>
  <si>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</si>
  <si>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</si>
  <si>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</si>
  <si>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</si>
  <si>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</si>
  <si>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</si>
  <si>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</si>
  <si>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</si>
  <si>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</si>
  <si>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</si>
  <si>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</si>
  <si>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</si>
  <si>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</si>
  <si>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</si>
  <si>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</si>
  <si>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</si>
  <si>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</si>
  <si>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</si>
  <si>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</si>
  <si>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</si>
  <si>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</si>
  <si>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</si>
  <si>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</si>
  <si>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</si>
  <si>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</si>
  <si>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</si>
  <si>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</si>
  <si>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</si>
  <si>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</si>
  <si>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</si>
  <si>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</si>
  <si>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</si>
  <si>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</si>
  <si>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</si>
  <si>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</si>
  <si>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</si>
  <si>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</si>
  <si>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</si>
  <si>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</si>
  <si>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</si>
  <si>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</si>
  <si>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</si>
  <si>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</si>
  <si>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</si>
  <si>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</si>
  <si>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</si>
  <si>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</si>
  <si>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</si>
  <si>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</si>
  <si>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</si>
  <si>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</si>
  <si>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</si>
  <si>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</si>
  <si>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</si>
  <si>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</si>
  <si>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</si>
  <si>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</si>
  <si>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</si>
  <si>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</si>
  <si>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</si>
  <si>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</si>
  <si>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</si>
  <si>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</si>
  <si>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</si>
  <si>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</si>
  <si>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</si>
  <si>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</si>
  <si>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</si>
  <si>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</si>
  <si>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</si>
  <si>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</si>
  <si>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</si>
  <si>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</si>
  <si>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</si>
  <si>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</si>
  <si>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</si>
  <si>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</si>
  <si>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</si>
  <si>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</si>
  <si>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</si>
  <si>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</si>
  <si>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</si>
  <si>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</si>
  <si>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</si>
  <si>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</si>
  <si>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</si>
  <si>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</si>
  <si>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</si>
  <si>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</si>
  <si>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</si>
  <si>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</si>
  <si>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</si>
  <si>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</si>
  <si>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</si>
  <si>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</si>
  <si>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</si>
  <si>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</si>
  <si>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</si>
  <si>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</si>
  <si>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</si>
  <si>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</si>
  <si>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</si>
  <si>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</si>
  <si>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</si>
  <si>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</si>
  <si>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</si>
  <si>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</si>
  <si>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</si>
  <si>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</si>
  <si>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</si>
  <si>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</si>
  <si>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</si>
  <si>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</si>
  <si>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</si>
  <si>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</si>
  <si>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</si>
  <si>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</si>
  <si>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</si>
  <si>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</si>
  <si>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</si>
  <si>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</si>
  <si>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</si>
  <si>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</si>
  <si>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</si>
  <si>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</si>
  <si>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</si>
  <si>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</si>
  <si>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</si>
  <si>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</si>
  <si>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</si>
  <si>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</si>
  <si>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</si>
  <si>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</si>
  <si>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</si>
  <si>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</si>
  <si>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</si>
  <si>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</si>
  <si>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</si>
  <si>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</si>
  <si>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</si>
  <si>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</si>
  <si>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</si>
  <si>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</si>
  <si>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</si>
  <si>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</si>
  <si>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</si>
  <si>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</si>
  <si>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</si>
  <si>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</si>
  <si>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</si>
  <si>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</si>
  <si>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</si>
  <si>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</si>
  <si>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</si>
  <si>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</si>
  <si>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</si>
  <si>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</si>
  <si>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</si>
  <si>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</si>
  <si>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</si>
  <si>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</si>
  <si>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</si>
  <si>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</si>
  <si>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</si>
  <si>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</si>
  <si>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</si>
  <si>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</si>
  <si>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</si>
  <si>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</si>
  <si>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</si>
  <si>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</si>
  <si>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</si>
  <si>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</si>
  <si>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</si>
  <si>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</si>
  <si>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</si>
  <si>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</si>
  <si>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</si>
  <si>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</si>
  <si>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</si>
  <si>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</si>
  <si>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</si>
  <si>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</si>
  <si>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</si>
  <si>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</si>
  <si>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</si>
  <si>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</si>
  <si>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</si>
  <si>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</si>
  <si>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</si>
  <si>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</si>
  <si>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</si>
  <si>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</si>
  <si>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</si>
  <si>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</si>
  <si>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</si>
  <si>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</si>
  <si>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</si>
  <si>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</si>
  <si>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</si>
  <si>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</si>
  <si>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</si>
  <si>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</si>
  <si>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</si>
  <si>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</si>
  <si>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</si>
  <si>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</si>
  <si>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</si>
  <si>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</si>
  <si>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</si>
  <si>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</si>
  <si>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</si>
  <si>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</si>
  <si>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</si>
  <si>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</si>
  <si>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</si>
  <si>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</si>
  <si>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</si>
  <si>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</si>
  <si>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</si>
  <si>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</si>
  <si>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</si>
  <si>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</si>
  <si>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</si>
  <si>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</si>
  <si>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</si>
  <si>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</si>
  <si>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</si>
  <si>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</si>
  <si>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</si>
  <si>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</si>
  <si>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</si>
  <si>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</si>
  <si>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</si>
  <si>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</si>
  <si>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</si>
  <si>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</si>
  <si>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</si>
  <si>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</si>
  <si>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</si>
  <si>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</si>
  <si>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</si>
  <si>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</si>
  <si>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</si>
  <si>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</si>
  <si>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</si>
  <si>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</si>
  <si>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</si>
  <si>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</si>
  <si>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</si>
  <si>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</si>
  <si>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</si>
  <si>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</si>
  <si>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</si>
  <si>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</si>
  <si>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</si>
  <si>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</si>
  <si>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</si>
  <si>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</si>
  <si>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</si>
  <si>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</si>
  <si>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</si>
  <si>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</si>
  <si>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</si>
  <si>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</si>
  <si>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</si>
  <si>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</si>
  <si>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</si>
  <si>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</si>
  <si>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</si>
  <si>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</si>
  <si>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</si>
  <si>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</si>
  <si>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</si>
  <si>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</si>
  <si>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</si>
  <si>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</si>
  <si>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</si>
  <si>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</si>
  <si>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</si>
  <si>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</si>
  <si>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</si>
  <si>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</si>
  <si>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</si>
  <si>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</si>
  <si>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</si>
  <si>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</si>
  <si>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</si>
  <si>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</si>
  <si>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</si>
  <si>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</si>
  <si>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</si>
  <si>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</si>
  <si>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</si>
  <si>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</si>
  <si>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</si>
  <si>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</si>
  <si>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</si>
  <si>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</si>
  <si>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</si>
  <si>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</si>
  <si>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</si>
  <si>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</si>
  <si>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</si>
  <si>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</si>
  <si>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</si>
  <si>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</si>
  <si>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</si>
  <si>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</si>
  <si>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</si>
  <si>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</si>
  <si>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</si>
  <si>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</si>
  <si>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</si>
  <si>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</si>
  <si>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</si>
  <si>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</si>
  <si>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</si>
  <si>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</si>
  <si>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</si>
  <si>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</si>
  <si>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</si>
  <si>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</si>
  <si>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</si>
  <si>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</si>
  <si>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</si>
  <si>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</si>
  <si>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</si>
  <si>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</si>
  <si>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</si>
  <si>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</si>
  <si>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</si>
  <si>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</si>
  <si>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</si>
  <si>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</si>
  <si>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</si>
  <si>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</si>
  <si>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</si>
  <si>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</si>
  <si>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</si>
  <si>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</si>
  <si>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</si>
  <si>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</si>
  <si>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</si>
  <si>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</si>
  <si>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</si>
  <si>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</si>
  <si>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</si>
  <si>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</si>
  <si>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</si>
  <si>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</si>
  <si>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</si>
  <si>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</si>
  <si>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</si>
  <si>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</si>
  <si>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</si>
  <si>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</si>
  <si>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</si>
  <si>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</si>
  <si>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</si>
  <si>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</si>
  <si>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</si>
  <si>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</si>
  <si>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</si>
  <si>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</si>
  <si>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</si>
  <si>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</si>
  <si>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</si>
  <si>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</si>
  <si>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</si>
  <si>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</si>
  <si>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</si>
  <si>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</si>
  <si>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</si>
  <si>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</si>
  <si>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</si>
  <si>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</si>
  <si>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</si>
  <si>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</si>
  <si>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</si>
  <si>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</si>
  <si>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</si>
  <si>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</si>
  <si>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</si>
  <si>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</si>
  <si>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</si>
  <si>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</si>
  <si>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</si>
  <si>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</si>
  <si>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</si>
  <si>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</si>
  <si>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</si>
  <si>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</si>
  <si>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</si>
  <si>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</si>
  <si>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</si>
  <si>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</si>
  <si>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</si>
  <si>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</si>
  <si>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</si>
  <si>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</si>
  <si>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</si>
  <si>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</si>
  <si>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</si>
  <si>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</si>
  <si>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</si>
  <si>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</si>
  <si>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</si>
  <si>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</si>
  <si>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</si>
  <si>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</si>
  <si>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</si>
  <si>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</si>
  <si>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</si>
  <si>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</si>
  <si>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</si>
  <si>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</si>
  <si>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</si>
  <si>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</si>
  <si>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</si>
  <si>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</si>
  <si>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</si>
  <si>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</si>
  <si>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</si>
  <si>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</si>
  <si>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</si>
  <si>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</si>
  <si>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</si>
  <si>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</si>
  <si>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</si>
  <si>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</si>
  <si>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</si>
  <si>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</si>
  <si>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</si>
  <si>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</si>
  <si>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</si>
  <si>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</si>
  <si>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</si>
  <si>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</si>
  <si>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</si>
  <si>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</si>
  <si>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</si>
  <si>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</si>
  <si>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</si>
  <si>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</si>
  <si>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</si>
  <si>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</si>
  <si>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</si>
  <si>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</si>
  <si>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</si>
  <si>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</si>
  <si>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</si>
  <si>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</si>
  <si>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</si>
  <si>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</si>
  <si>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</si>
  <si>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</si>
  <si>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</si>
  <si>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</si>
  <si>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</si>
  <si>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</si>
  <si>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</si>
  <si>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</si>
  <si>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</si>
  <si>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</si>
  <si>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</si>
  <si>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</si>
  <si>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</si>
  <si>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</si>
  <si>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</si>
  <si>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</si>
  <si>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</si>
  <si>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</si>
  <si>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</si>
  <si>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</si>
  <si>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</si>
  <si>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</si>
  <si>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</si>
  <si>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</si>
  <si>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</si>
  <si>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</si>
  <si>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</si>
  <si>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</si>
  <si>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</si>
  <si>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</si>
  <si>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</si>
  <si>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</si>
  <si>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</si>
  <si>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</si>
  <si>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</si>
  <si>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</si>
  <si>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</si>
  <si>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</si>
  <si>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</si>
  <si>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</si>
  <si>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</si>
  <si>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</si>
  <si>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</si>
  <si>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</si>
  <si>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</si>
  <si>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</si>
  <si>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</si>
  <si>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</si>
  <si>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</si>
  <si>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</si>
  <si>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</si>
  <si>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</si>
  <si>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</si>
  <si>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</si>
  <si>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</si>
  <si>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</si>
  <si>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</si>
  <si>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</si>
  <si>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</si>
  <si>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</si>
  <si>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</si>
  <si>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</si>
  <si>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</si>
  <si>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</si>
  <si>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</si>
  <si>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</si>
  <si>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</si>
  <si>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</si>
  <si>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</si>
  <si>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</si>
  <si>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</si>
  <si>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</si>
  <si>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</si>
  <si>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</si>
  <si>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</si>
  <si>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</si>
  <si>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</si>
  <si>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</si>
  <si>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</si>
  <si>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</si>
  <si>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</si>
  <si>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</si>
  <si>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</si>
  <si>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</si>
  <si>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</si>
  <si>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</si>
  <si>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</si>
  <si>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</si>
  <si>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</si>
  <si>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</si>
  <si>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</si>
  <si>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</si>
  <si>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</si>
  <si>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</si>
  <si>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</si>
  <si>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</si>
  <si>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</si>
  <si>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</si>
  <si>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</si>
  <si>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</si>
  <si>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</si>
  <si>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</si>
  <si>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</si>
  <si>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</si>
  <si>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</si>
  <si>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</si>
  <si>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</si>
  <si>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</si>
  <si>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</si>
  <si>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</si>
  <si>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</si>
  <si>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</si>
  <si>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</si>
  <si>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</si>
  <si>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</si>
  <si>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</si>
  <si>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</si>
  <si>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</si>
  <si>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</si>
  <si>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</si>
  <si>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</si>
  <si>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</si>
  <si>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</si>
  <si>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</si>
  <si>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</si>
  <si>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</si>
  <si>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</si>
  <si>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</si>
  <si>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</si>
  <si>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</si>
  <si>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</si>
  <si>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</si>
  <si>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</si>
  <si>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</si>
  <si>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</si>
  <si>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</si>
  <si>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</si>
  <si>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</si>
  <si>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</si>
  <si>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</si>
  <si>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</si>
  <si>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</si>
  <si>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</si>
  <si>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</si>
  <si>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</si>
  <si>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</si>
  <si>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</si>
  <si>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</si>
  <si>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</si>
  <si>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</si>
  <si>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</si>
  <si>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</si>
  <si>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</si>
  <si>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</si>
  <si>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</si>
  <si>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</si>
  <si>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</si>
  <si>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</si>
  <si>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</si>
  <si>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</si>
  <si>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</si>
  <si>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</si>
  <si>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</si>
  <si>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</si>
  <si>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</si>
  <si>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</si>
  <si>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</si>
  <si>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</si>
  <si>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</si>
  <si>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</si>
  <si>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</si>
  <si>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</si>
  <si>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</si>
  <si>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</si>
  <si>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</si>
  <si>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</si>
  <si>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</si>
  <si>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</si>
  <si>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</si>
  <si>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</si>
  <si>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</si>
  <si>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</si>
  <si>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</si>
  <si>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</si>
  <si>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</si>
  <si>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</si>
  <si>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</si>
  <si>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</si>
  <si>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</si>
  <si>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</si>
  <si>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</si>
  <si>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</si>
  <si>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</si>
  <si>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</si>
  <si>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</si>
  <si>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</si>
  <si>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</si>
  <si>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</si>
  <si>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</si>
  <si>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</si>
  <si>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</si>
  <si>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</si>
  <si>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</si>
  <si>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</si>
  <si>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</si>
  <si>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</si>
  <si>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</si>
  <si>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</si>
  <si>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</si>
  <si>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</si>
  <si>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</si>
  <si>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</si>
  <si>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</si>
  <si>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</si>
  <si>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</si>
  <si>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</si>
  <si>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</si>
  <si>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</si>
  <si>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</si>
  <si>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</si>
  <si>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</si>
  <si>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</si>
  <si>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</si>
  <si>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</si>
  <si>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</si>
  <si>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</si>
  <si>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</si>
  <si>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</si>
  <si>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</si>
  <si>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</si>
  <si>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</si>
  <si>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</si>
  <si>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</si>
  <si>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</si>
  <si>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</si>
  <si>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</si>
  <si>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</si>
  <si>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</si>
  <si>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</si>
  <si>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</si>
  <si>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</si>
  <si>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</si>
  <si>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</si>
  <si>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</si>
  <si>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</si>
  <si>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</si>
  <si>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</si>
  <si>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</si>
  <si>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</si>
  <si>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</si>
  <si>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</si>
  <si>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</si>
  <si>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</si>
  <si>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</si>
  <si>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</si>
  <si>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</si>
  <si>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</si>
  <si>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</si>
  <si>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</si>
  <si>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</si>
  <si>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</si>
  <si>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</si>
  <si>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</si>
  <si>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</si>
  <si>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</si>
  <si>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</si>
  <si>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</si>
  <si>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</si>
  <si>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</si>
  <si>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</si>
  <si>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</si>
  <si>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</si>
  <si>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</si>
  <si>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</si>
  <si>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</si>
  <si>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</si>
  <si>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</si>
  <si>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</si>
  <si>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</si>
  <si>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</si>
  <si>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</si>
  <si>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</si>
  <si>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</si>
  <si>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</si>
  <si>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</si>
  <si>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</si>
  <si>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</si>
  <si>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</si>
  <si>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</si>
  <si>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</si>
  <si>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</si>
  <si>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</si>
  <si>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</si>
  <si>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</si>
  <si>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</si>
  <si>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</si>
  <si>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</si>
  <si>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</si>
  <si>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</si>
  <si>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</si>
  <si>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</si>
  <si>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</si>
  <si>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</si>
  <si>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</si>
  <si>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</si>
  <si>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</si>
  <si>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</si>
  <si>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</si>
  <si>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</si>
  <si>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</si>
  <si>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</si>
  <si>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</si>
  <si>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</si>
  <si>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</si>
  <si>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</si>
  <si>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</si>
  <si>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</si>
  <si>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</si>
  <si>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</si>
  <si>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</si>
  <si>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</si>
  <si>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</si>
  <si>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</si>
  <si>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</si>
  <si>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</si>
  <si>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</si>
  <si>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</si>
  <si>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</si>
  <si>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</si>
  <si>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</si>
  <si>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</si>
  <si>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</si>
  <si>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</si>
  <si>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</si>
  <si>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</si>
  <si>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</si>
  <si>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</si>
  <si>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</si>
  <si>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</si>
  <si>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</si>
  <si>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</si>
  <si>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</si>
  <si>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</si>
  <si>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</si>
  <si>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</si>
  <si>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</si>
  <si>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</si>
  <si>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</si>
  <si>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</si>
  <si>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</si>
  <si>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</si>
  <si>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</si>
  <si>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</si>
  <si>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</si>
  <si>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</si>
  <si>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</si>
  <si>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</si>
  <si>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</si>
  <si>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</si>
  <si>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</si>
  <si>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</si>
  <si>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</si>
  <si>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</si>
  <si>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</si>
  <si>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</si>
  <si>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</si>
  <si>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</si>
  <si>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</si>
  <si>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</si>
  <si>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</si>
  <si>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</si>
  <si>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</si>
  <si>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</si>
  <si>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</si>
  <si>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</si>
  <si>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</si>
  <si>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</si>
  <si>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</si>
  <si>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</si>
  <si>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</si>
  <si>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</si>
  <si>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</si>
  <si>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</si>
  <si>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</si>
  <si>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</si>
  <si>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</si>
  <si>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</si>
  <si>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</si>
  <si>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</si>
  <si>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</si>
  <si>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</si>
  <si>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</si>
  <si>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</si>
  <si>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</si>
  <si>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</si>
  <si>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</si>
  <si>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</si>
  <si>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</si>
  <si>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</si>
  <si>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</si>
  <si>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</si>
  <si>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</si>
  <si>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</si>
  <si>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</si>
  <si>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</si>
  <si>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</si>
  <si>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</si>
  <si>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</si>
  <si>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</si>
  <si>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</si>
  <si>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</si>
  <si>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</si>
  <si>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</si>
  <si>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</si>
  <si>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</si>
  <si>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</si>
  <si>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</si>
  <si>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</si>
  <si>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</si>
  <si>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</si>
  <si>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</si>
  <si>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</si>
  <si>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</si>
  <si>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</si>
  <si>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</si>
  <si>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</si>
  <si>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</si>
  <si>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</si>
  <si>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</si>
  <si>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</si>
  <si>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</si>
  <si>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</si>
  <si>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</si>
  <si>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</si>
  <si>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</si>
  <si>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</si>
  <si>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</si>
  <si>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</si>
  <si>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</si>
  <si>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</si>
  <si>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</si>
  <si>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</si>
  <si>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</si>
  <si>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</si>
  <si>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</si>
  <si>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</si>
  <si>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</si>
  <si>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</si>
  <si>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</si>
  <si>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</si>
  <si>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</si>
  <si>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</si>
  <si>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</si>
  <si>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</si>
  <si>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</si>
  <si>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</si>
  <si>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</si>
  <si>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</si>
  <si>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</si>
  <si>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</si>
  <si>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</si>
  <si>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</si>
  <si>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</si>
  <si>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</si>
  <si>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</si>
  <si>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</si>
  <si>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</si>
  <si>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</si>
  <si>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</si>
  <si>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</si>
  <si>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</si>
  <si>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</si>
  <si>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</si>
  <si>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</si>
  <si>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</si>
  <si>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</si>
  <si>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</si>
  <si>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</si>
  <si>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</si>
  <si>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</si>
  <si>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</si>
  <si>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</si>
  <si>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</si>
  <si>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</si>
  <si>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</si>
  <si>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</si>
  <si>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</si>
  <si>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</si>
  <si>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</si>
  <si>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</si>
  <si>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</si>
  <si>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</si>
  <si>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</si>
  <si>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</si>
  <si>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</si>
  <si>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</si>
  <si>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</si>
  <si>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</si>
  <si>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</si>
  <si>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</si>
  <si>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</si>
  <si>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</si>
  <si>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</si>
  <si>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</si>
  <si>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</si>
  <si>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</si>
  <si>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</si>
  <si>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</si>
  <si>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</si>
  <si>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</si>
  <si>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</si>
  <si>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</si>
  <si>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</si>
  <si>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</si>
  <si>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</si>
  <si>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</si>
  <si>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</si>
  <si>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</si>
  <si>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</si>
  <si>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</si>
  <si>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</si>
  <si>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</si>
  <si>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</si>
  <si>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</si>
  <si>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</si>
  <si>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</si>
  <si>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</si>
  <si>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</si>
  <si>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</si>
  <si>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</si>
  <si>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</si>
  <si>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</si>
  <si>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</si>
  <si>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</si>
  <si>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</si>
  <si>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</si>
  <si>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</si>
  <si>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</si>
  <si>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</si>
  <si>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</si>
  <si>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</si>
  <si>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</si>
  <si>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</si>
  <si>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</si>
  <si>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</si>
  <si>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</si>
  <si>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</si>
  <si>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</si>
  <si>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</si>
  <si>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</si>
  <si>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</si>
  <si>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</si>
  <si>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</si>
  <si>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</si>
  <si>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</si>
  <si>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</si>
  <si>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</si>
  <si>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</si>
  <si>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</si>
  <si>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</si>
  <si>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</si>
  <si>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</si>
  <si>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</si>
  <si>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</si>
  <si>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</si>
  <si>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</si>
  <si>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</si>
  <si>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</si>
  <si>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</si>
  <si>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</si>
  <si>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</si>
  <si>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</si>
  <si>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</si>
  <si>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</si>
  <si>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</si>
  <si>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</si>
  <si>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</si>
  <si>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</si>
  <si>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</si>
  <si>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</si>
  <si>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</si>
  <si>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</si>
  <si>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</si>
  <si>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</si>
  <si>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</si>
  <si>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</si>
  <si>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</si>
  <si>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</si>
  <si>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</si>
  <si>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</si>
  <si>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</si>
  <si>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</si>
  <si>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</si>
  <si>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</si>
  <si>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</si>
  <si>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</si>
  <si>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</si>
  <si>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</si>
  <si>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</si>
  <si>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</si>
  <si>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</si>
  <si>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</si>
  <si>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</si>
  <si>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</si>
  <si>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</si>
  <si>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</si>
  <si>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</si>
  <si>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</si>
  <si>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</si>
  <si>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</si>
  <si>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</si>
  <si>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</si>
  <si>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</si>
  <si>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</si>
  <si>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</si>
  <si>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</si>
  <si>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</si>
  <si>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</si>
  <si>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</si>
  <si>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</si>
  <si>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</si>
  <si>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</si>
  <si>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</si>
  <si>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</si>
  <si>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</si>
  <si>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</si>
  <si>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</si>
  <si>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</si>
  <si>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</si>
  <si>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</si>
  <si>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</si>
  <si>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</si>
  <si>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</si>
  <si>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</si>
  <si>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</si>
  <si>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</si>
  <si>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</si>
  <si>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</si>
  <si>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</si>
  <si>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</si>
  <si>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</si>
  <si>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</si>
  <si>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</si>
  <si>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</si>
  <si>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</si>
  <si>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</si>
  <si>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</si>
  <si>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</si>
  <si>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</si>
  <si>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</si>
  <si>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</si>
  <si>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</si>
  <si>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</si>
  <si>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</si>
  <si>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</si>
  <si>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</si>
  <si>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</si>
  <si>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</si>
  <si>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</si>
  <si>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</si>
  <si>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</si>
  <si>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</si>
  <si>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</si>
  <si>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</si>
  <si>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</si>
  <si>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</si>
  <si>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</si>
  <si>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</si>
  <si>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</si>
  <si>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</si>
  <si>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</si>
  <si>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</si>
  <si>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</si>
  <si>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</si>
  <si>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</si>
  <si>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</si>
  <si>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</si>
  <si>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</si>
  <si>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</si>
  <si>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</si>
  <si>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</si>
  <si>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</si>
  <si>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</si>
  <si>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</si>
  <si>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</si>
  <si>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</si>
  <si>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</si>
  <si>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</si>
  <si>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</si>
  <si>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</si>
  <si>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</si>
  <si>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</si>
  <si>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</si>
  <si>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</si>
  <si>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</si>
  <si>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</si>
  <si>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</si>
  <si>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</si>
  <si>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</si>
  <si>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</si>
  <si>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</si>
  <si>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</si>
  <si>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</si>
  <si>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</si>
  <si>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</si>
  <si>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</si>
  <si>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</si>
  <si>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</si>
  <si>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</si>
  <si>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</si>
  <si>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</si>
  <si>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</si>
  <si>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</si>
  <si>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</si>
  <si>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</si>
  <si>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</si>
  <si>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</si>
  <si>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</si>
  <si>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</si>
  <si>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</si>
  <si>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</si>
  <si>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</si>
  <si>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</si>
  <si>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</si>
  <si>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</si>
  <si>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</si>
  <si>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</si>
  <si>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</si>
  <si>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</si>
  <si>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</si>
  <si>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</si>
  <si>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</si>
  <si>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</si>
  <si>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</si>
  <si>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</si>
  <si>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</si>
  <si>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</si>
  <si>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</si>
  <si>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</si>
  <si>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</si>
  <si>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</si>
  <si>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</si>
  <si>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</si>
  <si>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</si>
  <si>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</si>
  <si>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</si>
  <si>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</si>
  <si>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</si>
  <si>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</si>
  <si>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</si>
  <si>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</si>
  <si>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</si>
  <si>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</si>
  <si>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</si>
  <si>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</si>
  <si>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</si>
  <si>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</si>
  <si>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</si>
  <si>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</si>
  <si>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</si>
  <si>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</si>
  <si>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</si>
  <si>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</si>
  <si>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</si>
  <si>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</si>
  <si>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</si>
  <si>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</si>
  <si>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</si>
  <si>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</si>
  <si>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</si>
  <si>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</si>
  <si>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</si>
  <si>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</si>
  <si>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</si>
  <si>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</si>
  <si>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</si>
  <si>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</si>
  <si>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</si>
  <si>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</si>
  <si>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</si>
  <si>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</si>
  <si>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</si>
  <si>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</si>
  <si>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</si>
  <si>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</si>
  <si>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</si>
  <si>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</si>
  <si>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</si>
  <si>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</si>
  <si>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</si>
  <si>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</si>
  <si>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</si>
  <si>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</si>
  <si>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</si>
  <si>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</si>
  <si>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</si>
  <si>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</si>
  <si>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</si>
  <si>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</si>
  <si>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</si>
  <si>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</si>
  <si>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</si>
  <si>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</si>
  <si>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</si>
  <si>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</si>
  <si>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</si>
  <si>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</si>
  <si>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</si>
  <si>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</si>
  <si>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</si>
  <si>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</si>
  <si>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</si>
  <si>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</si>
  <si>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</si>
  <si>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</si>
  <si>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</si>
  <si>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</si>
  <si>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</si>
  <si>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</si>
  <si>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</si>
  <si>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</si>
  <si>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</si>
  <si>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</si>
  <si>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</si>
  <si>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</si>
  <si>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</si>
  <si>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</si>
  <si>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</si>
  <si>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</si>
  <si>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</si>
  <si>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</si>
  <si>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</si>
  <si>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</si>
  <si>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</si>
  <si>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</si>
  <si>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</si>
  <si>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</si>
  <si>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</si>
  <si>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</si>
  <si>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</si>
  <si>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</si>
  <si>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</si>
  <si>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</si>
  <si>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</si>
  <si>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</si>
  <si>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</si>
  <si>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</si>
  <si>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</si>
  <si>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</si>
  <si>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</si>
  <si>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</si>
  <si>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</si>
  <si>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</si>
  <si>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</si>
  <si>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</si>
  <si>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</si>
  <si>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</si>
  <si>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</si>
  <si>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</si>
  <si>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</si>
  <si>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</si>
  <si>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</si>
  <si>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</si>
  <si>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</si>
  <si>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</si>
  <si>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</si>
  <si>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</si>
  <si>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</si>
  <si>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</si>
  <si>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</si>
  <si>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</si>
  <si>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</si>
  <si>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</si>
  <si>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</si>
  <si>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</si>
  <si>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</si>
  <si>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</si>
  <si>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</si>
  <si>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</si>
  <si>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</si>
  <si>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</si>
  <si>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</si>
  <si>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</si>
  <si>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</si>
  <si>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</si>
  <si>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</si>
  <si>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</si>
  <si>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</si>
  <si>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</si>
  <si>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</si>
  <si>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</si>
  <si>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</si>
  <si>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</si>
  <si>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</si>
  <si>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</si>
  <si>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</si>
  <si>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</si>
  <si>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</si>
  <si>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</si>
  <si>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</si>
  <si>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</si>
  <si>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</si>
  <si>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</si>
  <si>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</si>
  <si>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</si>
  <si>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</si>
  <si>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</si>
  <si>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</si>
  <si>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</si>
  <si>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</si>
  <si>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</si>
  <si>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</si>
  <si>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</si>
  <si>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</si>
  <si>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</si>
  <si>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</si>
  <si>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</si>
  <si>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</si>
  <si>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</si>
  <si>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</si>
  <si>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</si>
  <si>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</si>
  <si>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</si>
  <si>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</si>
  <si>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</si>
  <si>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</si>
  <si>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</si>
  <si>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</si>
  <si>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</si>
  <si>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</si>
  <si>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</si>
  <si>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</si>
  <si>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</si>
  <si>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</si>
  <si>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</si>
  <si>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</si>
  <si>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</si>
  <si>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</si>
  <si>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</si>
  <si>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</si>
  <si>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</si>
  <si>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</si>
  <si>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</si>
  <si>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</si>
  <si>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</si>
  <si>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</si>
  <si>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</si>
  <si>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</si>
  <si>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</si>
  <si>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</si>
  <si>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</si>
  <si>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</si>
  <si>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</si>
  <si>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</si>
  <si>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</si>
  <si>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</si>
  <si>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</si>
  <si>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</si>
  <si>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</si>
  <si>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</si>
  <si>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</si>
  <si>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</si>
  <si>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</si>
  <si>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</si>
  <si>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</si>
  <si>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</si>
  <si>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</si>
  <si>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</si>
  <si>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</si>
  <si>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</si>
  <si>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</si>
  <si>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</si>
  <si>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</si>
  <si>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</si>
  <si>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</si>
  <si>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</si>
  <si>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</si>
  <si>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</si>
  <si>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</si>
  <si>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</si>
  <si>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</si>
  <si>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</si>
  <si>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</si>
  <si>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</si>
  <si>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</si>
  <si>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</si>
  <si>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</si>
  <si>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</si>
  <si>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</si>
  <si>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</si>
  <si>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</si>
  <si>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</si>
  <si>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</si>
  <si>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</si>
  <si>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</si>
  <si>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</si>
  <si>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</si>
  <si>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</si>
  <si>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</si>
  <si>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</si>
  <si>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</si>
  <si>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</si>
  <si>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</si>
  <si>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</si>
  <si>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</si>
  <si>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</si>
  <si>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</si>
  <si>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</si>
  <si>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</si>
  <si>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</si>
  <si>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</si>
  <si>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</si>
  <si>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</si>
  <si>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</si>
  <si>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</si>
  <si>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</si>
  <si>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</si>
  <si>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</si>
  <si>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</si>
  <si>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</si>
  <si>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</si>
  <si>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</si>
  <si>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</si>
  <si>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</si>
  <si>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</si>
  <si>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</si>
  <si>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</si>
  <si>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</si>
  <si>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</si>
  <si>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</si>
  <si>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</si>
  <si>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</si>
  <si>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</si>
  <si>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</si>
  <si>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</si>
  <si>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</si>
  <si>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</si>
  <si>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</si>
  <si>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</si>
  <si>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</si>
  <si>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</si>
  <si>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</si>
  <si>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</si>
  <si>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</si>
  <si>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</si>
  <si>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</si>
  <si>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</si>
  <si>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</si>
  <si>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</si>
  <si>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</si>
  <si>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</si>
  <si>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</si>
  <si>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</si>
  <si>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</si>
  <si>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</si>
  <si>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</si>
  <si>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</si>
  <si>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</si>
  <si>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</si>
  <si>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</si>
  <si>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</si>
  <si>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</si>
  <si>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</si>
  <si>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</si>
  <si>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</si>
  <si>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</si>
  <si>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</si>
  <si>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</si>
  <si>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</si>
  <si>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</si>
  <si>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</si>
  <si>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</si>
  <si>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</si>
  <si>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</si>
  <si>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</si>
  <si>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</si>
  <si>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</si>
  <si>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</si>
  <si>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</si>
  <si>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</si>
  <si>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</si>
  <si>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</si>
  <si>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</si>
  <si>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</si>
  <si>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</si>
  <si>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</si>
  <si>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</si>
  <si>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</si>
  <si>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</si>
  <si>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</si>
  <si>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</si>
  <si>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</si>
  <si>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</si>
  <si>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</si>
  <si>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</si>
  <si>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</si>
  <si>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</si>
  <si>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</si>
  <si>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</si>
  <si>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</si>
  <si>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</si>
  <si>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</si>
  <si>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</si>
  <si>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</si>
  <si>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</si>
  <si>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</si>
  <si>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</si>
  <si>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</si>
  <si>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</si>
  <si>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</si>
  <si>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</si>
  <si>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</si>
  <si>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</si>
  <si>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</si>
  <si>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</si>
  <si>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</si>
  <si>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</si>
  <si>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</si>
  <si>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</si>
  <si>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</si>
  <si>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</si>
  <si>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</si>
  <si>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</si>
  <si>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</si>
  <si>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</si>
  <si>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</si>
  <si>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</si>
  <si>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</si>
  <si>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</si>
  <si>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</si>
  <si>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</si>
  <si>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</si>
  <si>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</si>
  <si>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</si>
  <si>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</si>
  <si>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</si>
  <si>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</si>
  <si>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</si>
  <si>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</si>
  <si>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</si>
  <si>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</si>
  <si>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</si>
  <si>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</si>
  <si>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</si>
  <si>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</si>
  <si>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</si>
  <si>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</si>
  <si>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</si>
  <si>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</si>
  <si>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</si>
  <si>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</si>
  <si>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</si>
  <si>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</si>
  <si>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</si>
  <si>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</si>
  <si>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</si>
  <si>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</si>
  <si>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</si>
  <si>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</si>
  <si>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</si>
  <si>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</si>
  <si>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</si>
  <si>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</si>
  <si>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</si>
  <si>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</si>
  <si>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</si>
  <si>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</si>
  <si>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</si>
  <si>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</si>
  <si>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</si>
  <si>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</si>
  <si>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</si>
  <si>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</si>
  <si>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</si>
  <si>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</si>
  <si>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</si>
  <si>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</si>
  <si>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</si>
  <si>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</si>
  <si>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</si>
  <si>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</si>
  <si>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</si>
  <si>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</si>
  <si>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</si>
  <si>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</si>
  <si>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</si>
  <si>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</si>
  <si>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</si>
  <si>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</si>
  <si>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</si>
  <si>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</si>
  <si>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</si>
  <si>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</si>
  <si>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</si>
  <si>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</si>
  <si>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</si>
  <si>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</si>
  <si>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</si>
  <si>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</si>
  <si>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</si>
  <si>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</si>
  <si>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</si>
  <si>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</si>
  <si>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</si>
  <si>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</si>
  <si>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</si>
  <si>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</si>
  <si>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</si>
  <si>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</si>
  <si>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</si>
  <si>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</si>
  <si>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</si>
  <si>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</si>
  <si>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</si>
  <si>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</si>
  <si>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</si>
  <si>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</si>
  <si>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</si>
  <si>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</si>
  <si>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</si>
  <si>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</si>
  <si>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</si>
  <si>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</si>
  <si>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</si>
  <si>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</si>
  <si>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</si>
  <si>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</si>
  <si>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</si>
  <si>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</si>
  <si>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</si>
  <si>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</si>
  <si>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</si>
  <si>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</si>
  <si>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</si>
  <si>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</si>
  <si>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</si>
  <si>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</si>
  <si>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</si>
  <si>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</si>
  <si>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</si>
  <si>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</si>
  <si>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</si>
  <si>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</si>
  <si>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</si>
  <si>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</si>
  <si>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</si>
  <si>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</si>
  <si>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</si>
  <si>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</si>
  <si>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</si>
  <si>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</si>
  <si>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</si>
  <si>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</si>
  <si>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</si>
  <si>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</si>
  <si>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</si>
  <si>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</si>
  <si>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</si>
  <si>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</si>
  <si>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</si>
  <si>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</si>
  <si>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</si>
  <si>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</si>
  <si>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</si>
  <si>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</si>
  <si>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</si>
  <si>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</si>
  <si>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</si>
  <si>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</si>
  <si>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</si>
  <si>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</si>
  <si>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</si>
  <si>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</si>
  <si>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</si>
  <si>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</si>
  <si>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</si>
  <si>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</si>
  <si>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</si>
  <si>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</si>
  <si>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</si>
  <si>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</si>
  <si>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</si>
  <si>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</si>
  <si>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</si>
  <si>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</si>
  <si>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</si>
  <si>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</si>
  <si>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</si>
  <si>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</si>
  <si>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</si>
  <si>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</si>
  <si>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</si>
  <si>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</si>
  <si>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</si>
  <si>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</si>
  <si>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</si>
  <si>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</si>
  <si>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</si>
  <si>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</si>
  <si>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</si>
  <si>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</si>
  <si>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</si>
  <si>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</si>
  <si>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</si>
  <si>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</si>
  <si>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</si>
  <si>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</si>
  <si>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</si>
  <si>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</si>
  <si>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</si>
  <si>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</si>
  <si>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</si>
  <si>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</si>
  <si>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</si>
  <si>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</si>
  <si>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</si>
  <si>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</si>
  <si>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</si>
  <si>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</si>
  <si>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</si>
  <si>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</si>
  <si>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</si>
  <si>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</si>
  <si>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</si>
  <si>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</si>
  <si>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</si>
  <si>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</si>
  <si>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</si>
  <si>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</si>
  <si>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</si>
  <si>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</si>
  <si>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</si>
  <si>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</si>
  <si>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</si>
  <si>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</si>
  <si>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</si>
  <si>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</si>
  <si>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</si>
  <si>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</si>
  <si>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</si>
  <si>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</si>
  <si>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</si>
  <si>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</si>
  <si>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</si>
  <si>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</si>
  <si>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</si>
  <si>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</si>
  <si>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</si>
  <si>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</si>
  <si>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</si>
  <si>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</si>
  <si>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</si>
  <si>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</si>
  <si>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</si>
  <si>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</si>
  <si>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</si>
  <si>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</si>
  <si>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</si>
  <si>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</si>
  <si>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</si>
  <si>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</si>
  <si>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</si>
  <si>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</si>
  <si>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</si>
  <si>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</si>
  <si>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</si>
  <si>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</si>
  <si>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</si>
  <si>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</si>
  <si>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</si>
  <si>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</si>
  <si>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</si>
  <si>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</si>
  <si>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</si>
  <si>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</si>
  <si>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</si>
  <si>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</si>
  <si>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</si>
  <si>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</si>
  <si>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</si>
  <si>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</si>
  <si>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</si>
  <si>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</si>
  <si>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</si>
  <si>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</si>
  <si>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</si>
  <si>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</si>
  <si>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</si>
  <si>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</si>
  <si>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</si>
  <si>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</si>
  <si>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</si>
  <si>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</si>
  <si>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</si>
  <si>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</si>
  <si>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</si>
  <si>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</si>
  <si>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</si>
  <si>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</si>
  <si>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</si>
  <si>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</si>
  <si>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</si>
  <si>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</si>
  <si>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</si>
  <si>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</si>
  <si>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</si>
  <si>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</si>
  <si>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</si>
  <si>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</si>
  <si>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</si>
  <si>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</si>
  <si>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</si>
  <si>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</si>
  <si>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</si>
  <si>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</si>
  <si>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</si>
  <si>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</si>
  <si>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</si>
  <si>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</si>
  <si>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</si>
  <si>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</si>
  <si>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</si>
  <si>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</si>
  <si>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</si>
  <si>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</si>
  <si>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</si>
  <si>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</si>
  <si>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</si>
  <si>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</si>
  <si>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</si>
  <si>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</si>
  <si>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</si>
  <si>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</si>
  <si>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</si>
  <si>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</si>
  <si>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</si>
  <si>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</si>
  <si>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</si>
  <si>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</si>
  <si>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</si>
  <si>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</si>
  <si>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</si>
  <si>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</si>
  <si>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</si>
  <si>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</si>
  <si>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</si>
  <si>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</si>
  <si>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</si>
  <si>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</si>
  <si>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</si>
  <si>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</si>
  <si>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</si>
  <si>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</si>
  <si>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</si>
  <si>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</si>
  <si>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</si>
  <si>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</si>
  <si>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</si>
  <si>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</si>
  <si>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</si>
  <si>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</si>
  <si>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</si>
  <si>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</si>
  <si>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</si>
  <si>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</si>
  <si>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</si>
  <si>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</si>
  <si>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</si>
  <si>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</si>
  <si>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</si>
  <si>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</si>
  <si>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</si>
  <si>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</si>
  <si>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</si>
  <si>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</si>
  <si>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</si>
  <si>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</si>
  <si>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</si>
  <si>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</si>
  <si>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</si>
  <si>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</si>
  <si>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</si>
  <si>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</si>
  <si>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</si>
  <si>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</si>
  <si>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</si>
  <si>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</si>
  <si>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</si>
  <si>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</si>
  <si>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</si>
  <si>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</si>
  <si>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</si>
  <si>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</si>
  <si>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</si>
  <si>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</si>
  <si>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</si>
  <si>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</si>
  <si>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</si>
  <si>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</si>
  <si>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</si>
  <si>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</si>
  <si>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</si>
  <si>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</si>
  <si>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</si>
  <si>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</si>
  <si>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</si>
  <si>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</si>
  <si>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</si>
  <si>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</si>
  <si>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</si>
  <si>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</si>
  <si>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</si>
  <si>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</si>
  <si>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</si>
  <si>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</si>
  <si>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</si>
  <si>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</si>
  <si>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</si>
  <si>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</si>
  <si>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</si>
  <si>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</si>
  <si>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</si>
  <si>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</si>
  <si>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</si>
  <si>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</si>
  <si>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</si>
  <si>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</si>
  <si>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</si>
  <si>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</si>
  <si>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</si>
  <si>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</si>
  <si>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</si>
  <si>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</si>
  <si>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</si>
  <si>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</si>
  <si>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</si>
  <si>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</si>
  <si>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</si>
  <si>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</si>
  <si>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</si>
  <si>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</si>
  <si>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</si>
  <si>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</si>
  <si>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</si>
  <si>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</si>
  <si>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</si>
  <si>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</si>
  <si>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</si>
  <si>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</si>
  <si>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</si>
  <si>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</si>
  <si>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</si>
  <si>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</si>
  <si>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</si>
  <si>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</si>
  <si>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</si>
  <si>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</si>
  <si>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</si>
  <si>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</si>
  <si>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</si>
  <si>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</si>
  <si>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</si>
  <si>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</si>
  <si>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</si>
  <si>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</si>
  <si>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</si>
  <si>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</si>
  <si>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</si>
  <si>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</si>
  <si>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</si>
  <si>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</si>
  <si>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</si>
  <si>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</si>
  <si>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</si>
  <si>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</si>
  <si>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</si>
  <si>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</si>
  <si>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</si>
  <si>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</si>
  <si>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</si>
  <si>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</si>
  <si>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</si>
  <si>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</si>
  <si>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</si>
  <si>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</si>
  <si>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</si>
  <si>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</si>
  <si>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</si>
  <si>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</si>
  <si>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</si>
  <si>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</si>
  <si>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</si>
  <si>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</si>
  <si>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</si>
  <si>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</si>
  <si>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</si>
  <si>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</si>
  <si>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</si>
  <si>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</si>
  <si>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</si>
  <si>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</si>
  <si>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</si>
  <si>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</si>
  <si>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</si>
  <si>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</si>
  <si>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</si>
  <si>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</si>
  <si>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</si>
  <si>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</si>
  <si>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</si>
  <si>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</si>
  <si>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</si>
  <si>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</si>
  <si>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</si>
  <si>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</si>
  <si>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</si>
  <si>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</si>
  <si>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</si>
  <si>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</si>
  <si>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</si>
  <si>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</si>
  <si>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</si>
  <si>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</si>
  <si>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</si>
  <si>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</si>
  <si>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</si>
  <si>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</si>
  <si>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</si>
  <si>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</si>
  <si>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</si>
  <si>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</si>
  <si>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</si>
  <si>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</si>
  <si>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</si>
  <si>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</si>
  <si>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</si>
  <si>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</si>
  <si>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</si>
  <si>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</si>
  <si>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</si>
  <si>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</si>
  <si>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</si>
  <si>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</si>
  <si>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</si>
  <si>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</si>
  <si>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</si>
  <si>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</si>
  <si>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</si>
  <si>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</si>
  <si>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</si>
  <si>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</si>
  <si>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</si>
  <si>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</si>
  <si>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</si>
  <si>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</si>
  <si>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</si>
  <si>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</si>
  <si>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</si>
  <si>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</si>
  <si>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</si>
  <si>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</si>
  <si>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</si>
  <si>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</si>
  <si>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</si>
  <si>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</si>
  <si>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</si>
  <si>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</si>
  <si>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</si>
  <si>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</si>
  <si>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</si>
  <si>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</si>
  <si>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</si>
  <si>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</si>
  <si>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</si>
  <si>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</si>
  <si>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</si>
  <si>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</si>
  <si>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</si>
  <si>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</si>
  <si>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</si>
  <si>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</si>
  <si>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</si>
  <si>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</si>
  <si>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</si>
  <si>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</si>
  <si>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</si>
  <si>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</si>
  <si>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</si>
  <si>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</si>
  <si>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</si>
  <si>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</si>
  <si>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</si>
  <si>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</si>
  <si>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</si>
  <si>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</si>
  <si>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</si>
  <si>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</si>
  <si>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</si>
  <si>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</si>
  <si>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</si>
  <si>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</si>
  <si>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</si>
  <si>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</si>
  <si>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</si>
  <si>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</si>
  <si>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</si>
  <si>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</si>
  <si>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</si>
  <si>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</si>
  <si>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</si>
  <si>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</si>
  <si>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</si>
  <si>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</si>
  <si>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</si>
  <si>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</si>
  <si>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</si>
  <si>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</si>
  <si>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</si>
  <si>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</si>
  <si>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</si>
  <si>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</si>
  <si>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</si>
  <si>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</si>
  <si>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</si>
  <si>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</si>
  <si>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</si>
  <si>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</si>
  <si>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</si>
  <si>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</si>
  <si>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</si>
  <si>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</si>
  <si>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</si>
  <si>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</si>
  <si>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</si>
  <si>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</si>
  <si>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</si>
  <si>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</si>
  <si>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</si>
  <si>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</si>
  <si>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</si>
  <si>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</si>
  <si>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</si>
  <si>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</si>
  <si>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</si>
  <si>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</si>
  <si>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</si>
  <si>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</si>
  <si>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</si>
  <si>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</si>
  <si>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</si>
  <si>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</si>
  <si>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</si>
  <si>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</si>
  <si>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</si>
  <si>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</si>
  <si>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</si>
  <si>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</si>
  <si>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</si>
  <si>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</si>
  <si>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</si>
  <si>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</si>
  <si>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</si>
  <si>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</si>
  <si>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</si>
  <si>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</si>
  <si>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</si>
  <si>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</si>
  <si>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</si>
  <si>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</si>
  <si>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</si>
  <si>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</si>
  <si>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</si>
  <si>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</si>
  <si>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</si>
  <si>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</si>
  <si>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</si>
  <si>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</si>
  <si>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</si>
  <si>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</si>
  <si>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</si>
  <si>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</si>
  <si>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</si>
  <si>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</si>
  <si>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</si>
  <si>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</si>
  <si>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</si>
  <si>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</si>
  <si>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</si>
  <si>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</si>
  <si>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</si>
  <si>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</si>
  <si>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</si>
  <si>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</si>
  <si>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</si>
  <si>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</si>
  <si>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</si>
  <si>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</si>
  <si>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</si>
  <si>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</si>
  <si>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</si>
  <si>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</si>
  <si>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</si>
  <si>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</si>
  <si>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</si>
  <si>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</si>
  <si>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</si>
  <si>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</si>
  <si>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</si>
  <si>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</si>
  <si>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</si>
  <si>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</si>
  <si>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</si>
  <si>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</si>
  <si>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</si>
  <si>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</si>
  <si>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</si>
  <si>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</si>
  <si>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</si>
  <si>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</si>
  <si>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</si>
  <si>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</si>
  <si>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</si>
  <si>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</si>
  <si>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</si>
  <si>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</si>
  <si>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</si>
  <si>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</si>
  <si>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</si>
  <si>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</si>
  <si>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</si>
  <si>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</si>
  <si>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</si>
  <si>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</si>
  <si>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</si>
  <si>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</si>
  <si>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</si>
  <si>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</si>
  <si>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</si>
  <si>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</si>
  <si>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</si>
  <si>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</si>
  <si>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</si>
  <si>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</si>
  <si>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</si>
  <si>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</si>
  <si>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</si>
  <si>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</si>
  <si>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</si>
  <si>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</si>
  <si>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</si>
  <si>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</si>
  <si>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</si>
  <si>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</si>
  <si>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</si>
  <si>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</si>
  <si>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</si>
  <si>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</si>
  <si>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</si>
  <si>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</si>
  <si>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</si>
  <si>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</si>
  <si>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</si>
  <si>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</si>
  <si>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</si>
  <si>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</si>
  <si>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</si>
  <si>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</si>
  <si>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</si>
  <si>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</si>
  <si>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</si>
  <si>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</si>
  <si>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</si>
  <si>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</si>
  <si>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</si>
  <si>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</si>
  <si>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</si>
  <si>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</si>
  <si>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</si>
  <si>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</si>
  <si>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</si>
  <si>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</si>
  <si>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</si>
  <si>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</si>
  <si>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</si>
  <si>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</si>
  <si>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</si>
  <si>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</si>
  <si>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</si>
  <si>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</si>
  <si>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</si>
  <si>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</si>
  <si>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</si>
  <si>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</si>
  <si>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</si>
  <si>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</si>
  <si>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</si>
  <si>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</si>
  <si>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</si>
  <si>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</si>
  <si>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</si>
  <si>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</si>
  <si>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</si>
  <si>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</si>
  <si>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</si>
  <si>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</si>
  <si>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</si>
  <si>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</si>
  <si>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</si>
  <si>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</si>
  <si>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</si>
  <si>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</si>
  <si>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</si>
  <si>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</si>
  <si>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</si>
  <si>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</si>
  <si>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</si>
  <si>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</si>
  <si>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</si>
  <si>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</si>
  <si>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</si>
  <si>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</si>
  <si>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</si>
  <si>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</si>
  <si>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</si>
  <si>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</si>
  <si>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</si>
  <si>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</si>
  <si>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</si>
  <si>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</si>
  <si>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</si>
  <si>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</si>
  <si>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</si>
  <si>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</si>
  <si>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</si>
  <si>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</si>
  <si>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</si>
  <si>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</si>
  <si>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</si>
  <si>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</si>
  <si>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</si>
  <si>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</si>
  <si>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</si>
  <si>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</si>
  <si>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</si>
  <si>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</si>
  <si>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</si>
  <si>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</si>
  <si>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</si>
  <si>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</si>
  <si>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</si>
  <si>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</si>
  <si>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</si>
  <si>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</si>
  <si>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</si>
  <si>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</si>
  <si>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</si>
  <si>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</si>
  <si>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</si>
  <si>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</si>
  <si>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</si>
  <si>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</si>
  <si>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</si>
  <si>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</si>
  <si>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</si>
  <si>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</si>
  <si>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</si>
  <si>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</si>
  <si>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</si>
  <si>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</si>
  <si>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</si>
  <si>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</si>
  <si>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</si>
  <si>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</si>
  <si>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</si>
  <si>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</si>
  <si>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</si>
  <si>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</si>
  <si>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</si>
  <si>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</si>
  <si>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</si>
  <si>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</si>
  <si>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</si>
  <si>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</si>
  <si>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</si>
  <si>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</si>
  <si>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</si>
  <si>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</si>
  <si>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</si>
  <si>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</si>
  <si>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</si>
  <si>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</si>
  <si>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</si>
  <si>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</si>
  <si>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</si>
  <si>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</si>
  <si>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</si>
  <si>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</si>
  <si>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</si>
  <si>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</si>
  <si>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</si>
  <si>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</si>
  <si>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</si>
  <si>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</si>
  <si>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</si>
  <si>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</si>
  <si>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</si>
  <si>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</si>
  <si>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</si>
  <si>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</si>
  <si>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</si>
  <si>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</si>
  <si>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</si>
  <si>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</si>
  <si>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</si>
  <si>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</si>
  <si>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</si>
  <si>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</si>
  <si>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</si>
  <si>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</si>
  <si>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</si>
  <si>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</si>
  <si>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</si>
  <si>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</si>
  <si>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</si>
  <si>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</si>
  <si>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</si>
  <si>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</si>
  <si>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</si>
  <si>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</si>
  <si>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</si>
  <si>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</si>
  <si>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</si>
  <si>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</si>
  <si>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</si>
  <si>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</si>
  <si>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</si>
  <si>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</si>
  <si>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</si>
  <si>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</si>
  <si>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</si>
  <si>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</si>
  <si>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</si>
  <si>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</si>
  <si>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</si>
  <si>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</si>
  <si>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</si>
  <si>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</si>
  <si>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</si>
  <si>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</si>
  <si>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</si>
  <si>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</si>
  <si>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</si>
  <si>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</si>
  <si>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</si>
  <si>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</si>
  <si>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</si>
  <si>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</si>
  <si>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</si>
  <si>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</si>
  <si>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</si>
  <si>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PRESTAR CON PLENA AUTONOMIA ADMINISTRATIVA LOS SERVICIOS
PROFESIONALES DE UN INGENIERO EN MECATRÓNICA O A FINES  COMO DESARROLLADOR DE SOFTWARE - FRONTEND PARA EL GRUPO DEL INSTITUTO DE CASAS FISCALES DEL EJÉRCITO</t>
  </si>
  <si>
    <t>ACTUALIZACIÓN, SOPORTE Y VERSIONAMIENTO PARA LA PLATAFORMA DE GESTIÓN DOCUMENTAL DEL INSTITUTO DE CASAS FISCALES DEL EJERCITO.</t>
  </si>
  <si>
    <t>º</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</si>
  <si>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</si>
  <si>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</si>
  <si>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</si>
  <si>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</si>
  <si>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</si>
  <si>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</si>
  <si>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</si>
  <si>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</si>
  <si>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</si>
  <si>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</si>
  <si>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</si>
  <si>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</si>
  <si>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</si>
  <si>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</si>
  <si>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</si>
  <si>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</si>
  <si>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</si>
  <si>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</si>
  <si>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</si>
  <si>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</si>
  <si>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</si>
  <si>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</si>
  <si>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</si>
  <si>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</si>
  <si>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</si>
  <si>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</si>
  <si>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</si>
  <si>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</si>
  <si>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</si>
  <si>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</si>
  <si>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</si>
  <si>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</si>
  <si>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</si>
  <si>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</si>
  <si>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</si>
  <si>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</si>
  <si>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</si>
  <si>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</si>
  <si>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</si>
  <si>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</si>
  <si>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</si>
  <si>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</si>
  <si>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</si>
  <si>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</si>
  <si>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</si>
  <si>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</si>
  <si>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</si>
  <si>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</si>
  <si>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</si>
  <si>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</si>
  <si>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</si>
  <si>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</si>
  <si>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</si>
  <si>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</si>
  <si>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</si>
  <si>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</si>
  <si>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</si>
  <si>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</si>
  <si>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</si>
  <si>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</si>
  <si>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</si>
  <si>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</si>
  <si>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</si>
  <si>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</si>
  <si>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</si>
  <si>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</si>
  <si>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</si>
  <si>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</si>
  <si>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</si>
  <si>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</si>
  <si>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</si>
  <si>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</si>
  <si>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</si>
  <si>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</si>
  <si>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</si>
  <si>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</si>
  <si>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</si>
  <si>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</si>
  <si>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</si>
  <si>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</si>
  <si>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</si>
  <si>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</si>
  <si>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</si>
  <si>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</si>
  <si>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</si>
  <si>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</si>
  <si>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</si>
  <si>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</si>
  <si>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</si>
  <si>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</si>
  <si>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</si>
  <si>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</si>
  <si>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</si>
  <si>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</si>
  <si>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</si>
  <si>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</si>
  <si>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</si>
  <si>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</si>
  <si>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</si>
  <si>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</si>
  <si>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</si>
  <si>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</si>
  <si>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</si>
  <si>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</si>
  <si>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</si>
  <si>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</si>
  <si>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</si>
  <si>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</si>
  <si>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</si>
  <si>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</si>
  <si>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</si>
  <si>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</si>
  <si>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</si>
  <si>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</si>
  <si>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</si>
  <si>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</si>
  <si>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</si>
  <si>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</si>
  <si>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</si>
  <si>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</si>
  <si>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</si>
  <si>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</si>
  <si>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</si>
  <si>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</si>
  <si>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</si>
  <si>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</si>
  <si>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</si>
  <si>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</si>
  <si>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</si>
  <si>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</si>
  <si>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</si>
  <si>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</si>
  <si>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</si>
  <si>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</si>
  <si>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</si>
  <si>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</si>
  <si>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</si>
  <si>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</si>
  <si>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</si>
  <si>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</si>
  <si>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</si>
  <si>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</si>
  <si>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</si>
  <si>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</si>
  <si>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</si>
  <si>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</si>
  <si>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</si>
  <si>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</si>
  <si>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</si>
  <si>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</si>
  <si>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</si>
  <si>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</si>
  <si>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</si>
  <si>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</si>
  <si>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</si>
  <si>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</si>
  <si>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</si>
  <si>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</si>
  <si>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197124</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</si>
  <si>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</si>
  <si>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</si>
  <si>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</si>
  <si>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</si>
  <si>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</si>
  <si>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</si>
  <si>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</si>
  <si>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</si>
  <si>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</si>
  <si>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</si>
  <si>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</si>
  <si>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</si>
  <si>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ESTUDIO Y ELABORACIÓN DEL CALCULO ACTUARIAL</t>
  </si>
  <si>
    <t>ACTIVIDADES DE BIENESTAR, INCENTIVOS Y CLIMA ORGANIZACIONAL  PARA LOS FUNCIONARIOS DEL ICFE</t>
  </si>
  <si>
    <t>213724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</si>
</sst>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1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171" fontId="28"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2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23" borderId="1" xfId="1" applyNumberFormat="1" applyFont="1" applyFill="1" applyBorder="1" applyAlignment="1" applyProtection="1">
      <alignment horizontal="center" vertic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27" fillId="13" borderId="1" xfId="1" applyNumberFormat="1" applyFont="1" applyFill="1" applyBorder="1" applyAlignment="1" applyProtection="1">
      <alignment horizontal="right"/>
      <protection locked="0"/>
    </xf>
    <xf numFmtId="4" fontId="16" fillId="23" borderId="1" xfId="0" applyNumberFormat="1" applyFont="1" applyFill="1" applyBorder="1" applyAlignment="1" applyProtection="1">
      <alignment horizontal="right" vertical="center"/>
      <protection locked="0"/>
    </xf>
    <xf numFmtId="4" fontId="25" fillId="13" borderId="15" xfId="1" applyNumberFormat="1" applyFont="1" applyFill="1" applyBorder="1" applyAlignment="1">
      <alignment horizontal="right" wrapText="1"/>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418"/>
  <sheetViews>
    <sheetView showGridLines="0" tabSelected="1" view="pageBreakPreview" zoomScale="70" zoomScaleNormal="70" zoomScaleSheetLayoutView="70" workbookViewId="0">
      <pane ySplit="6" topLeftCell="A7" activePane="bottomLeft" state="frozen"/>
      <selection pane="bottomLeft" activeCell="U1" sqref="U1:Z1048576"/>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9"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9.5703125" style="20" customWidth="1"/>
    <col min="21" max="21" width="15" style="20" hidden="1" customWidth="1"/>
    <col min="22" max="22" width="30.5703125" style="329" hidden="1" customWidth="1"/>
    <col min="23" max="23" width="26.7109375" style="329" hidden="1" customWidth="1"/>
    <col min="24" max="24" width="10.42578125" style="358" hidden="1" customWidth="1"/>
    <col min="25" max="25" width="28.5703125" style="363" hidden="1" customWidth="1"/>
    <col min="26" max="26" width="27.28515625" style="20" hidden="1" customWidth="1"/>
    <col min="27" max="27" width="14.140625" bestFit="1" customWidth="1"/>
  </cols>
  <sheetData>
    <row r="1" spans="1:29" x14ac:dyDescent="0.25">
      <c r="B1" s="13"/>
      <c r="C1" s="13"/>
      <c r="D1" s="13"/>
      <c r="E1" s="13"/>
      <c r="F1" s="13"/>
      <c r="G1" s="13"/>
      <c r="H1" s="13"/>
      <c r="I1" s="13"/>
      <c r="J1" s="13"/>
      <c r="K1" s="13"/>
      <c r="L1" s="13"/>
      <c r="M1" s="13"/>
      <c r="N1" s="14"/>
      <c r="U1" s="16"/>
      <c r="V1" s="325"/>
      <c r="W1" s="325"/>
      <c r="X1" s="332"/>
      <c r="Y1" s="364"/>
      <c r="Z1" s="13"/>
      <c r="AA1" s="20"/>
    </row>
    <row r="2" spans="1:29" x14ac:dyDescent="0.25">
      <c r="B2" s="21" t="s">
        <v>113160</v>
      </c>
      <c r="C2" s="13"/>
      <c r="D2" s="13"/>
      <c r="E2" s="13"/>
      <c r="F2" s="13"/>
      <c r="G2" s="13"/>
      <c r="H2" s="13"/>
      <c r="I2" s="13"/>
      <c r="J2" s="13"/>
      <c r="K2" s="13"/>
      <c r="L2" s="13"/>
      <c r="M2" s="13"/>
      <c r="N2" s="14"/>
      <c r="U2" s="16"/>
      <c r="V2" s="325"/>
      <c r="W2" s="325"/>
      <c r="X2" s="332"/>
      <c r="Y2" s="364"/>
      <c r="Z2" s="13"/>
      <c r="AA2" s="20"/>
    </row>
    <row r="3" spans="1:29" x14ac:dyDescent="0.25">
      <c r="B3" s="21"/>
      <c r="C3" s="13"/>
      <c r="D3" s="13"/>
      <c r="E3" s="13"/>
      <c r="F3" s="13"/>
      <c r="G3" s="13"/>
      <c r="H3" s="13"/>
      <c r="I3" s="13"/>
      <c r="J3" s="13"/>
      <c r="K3" s="13"/>
      <c r="L3" s="13"/>
      <c r="M3" s="13"/>
      <c r="N3" s="14"/>
      <c r="U3" s="16"/>
      <c r="V3" s="325"/>
      <c r="W3" s="325"/>
      <c r="X3" s="332"/>
      <c r="Y3" s="364"/>
      <c r="Z3" s="13"/>
      <c r="AA3" s="20"/>
    </row>
    <row r="4" spans="1:29" x14ac:dyDescent="0.25">
      <c r="B4" s="21" t="s">
        <v>112983</v>
      </c>
      <c r="C4" s="13"/>
      <c r="D4" s="13"/>
      <c r="E4" s="13"/>
      <c r="F4" s="13"/>
      <c r="G4" s="13"/>
      <c r="H4" s="13"/>
      <c r="I4" s="13"/>
      <c r="J4" s="13"/>
      <c r="K4" s="13"/>
      <c r="L4" s="13"/>
      <c r="N4" s="14"/>
      <c r="S4" s="18"/>
      <c r="U4" s="16"/>
      <c r="V4" s="325"/>
      <c r="W4" s="325"/>
      <c r="X4" s="332"/>
      <c r="Y4" s="364"/>
      <c r="Z4" s="18"/>
      <c r="AA4" s="20"/>
    </row>
    <row r="5" spans="1:29" ht="16.5" thickBot="1" x14ac:dyDescent="0.3">
      <c r="B5" s="13"/>
      <c r="C5" s="13"/>
      <c r="D5" s="13"/>
      <c r="E5" s="13"/>
      <c r="F5" s="13"/>
      <c r="G5" s="13"/>
      <c r="H5" s="13"/>
      <c r="I5" s="13"/>
      <c r="J5" s="13"/>
      <c r="K5" s="13"/>
      <c r="L5" s="13"/>
      <c r="M5" s="13"/>
      <c r="N5" s="14"/>
      <c r="U5" s="16"/>
      <c r="V5" s="325"/>
      <c r="W5" s="325"/>
      <c r="X5" s="332"/>
      <c r="Y5" s="364"/>
      <c r="Z5" s="13"/>
      <c r="AA5" s="20"/>
    </row>
    <row r="6" spans="1:29"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8" t="s">
        <v>113354</v>
      </c>
      <c r="V6" s="288" t="s">
        <v>113296</v>
      </c>
      <c r="W6" s="288" t="s">
        <v>113355</v>
      </c>
      <c r="X6" s="333" t="s">
        <v>113353</v>
      </c>
      <c r="Y6" s="365" t="s">
        <v>113297</v>
      </c>
      <c r="Z6" s="289" t="s">
        <v>113298</v>
      </c>
    </row>
    <row r="7" spans="1:29" x14ac:dyDescent="0.25">
      <c r="A7" s="272"/>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87">
        <f t="shared" ref="V7:W7" si="0">+V8+V26</f>
        <v>7599471127.6999998</v>
      </c>
      <c r="W7" s="36">
        <f t="shared" si="0"/>
        <v>854853066.29999995</v>
      </c>
      <c r="X7" s="334"/>
      <c r="Y7" s="36">
        <f t="shared" ref="Y7:Z7" si="1">+Y8+Y26</f>
        <v>6744618061.3999996</v>
      </c>
      <c r="Z7" s="36">
        <f t="shared" si="1"/>
        <v>-1464381938.5999999</v>
      </c>
    </row>
    <row r="8" spans="1:29"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88">
        <f t="shared" ref="V8:W8" si="2">+V9</f>
        <v>379700000</v>
      </c>
      <c r="W8" s="46">
        <f t="shared" si="2"/>
        <v>232276208</v>
      </c>
      <c r="X8" s="335"/>
      <c r="Y8" s="46">
        <f t="shared" ref="Y8:Z8" si="3">+Y9</f>
        <v>147423792</v>
      </c>
      <c r="Z8" s="46">
        <f t="shared" si="3"/>
        <v>-251276208</v>
      </c>
    </row>
    <row r="9" spans="1:29"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89">
        <f t="shared" ref="V9:W9" si="4">+V10+V18</f>
        <v>379700000</v>
      </c>
      <c r="W9" s="55">
        <f t="shared" si="4"/>
        <v>232276208</v>
      </c>
      <c r="X9" s="336"/>
      <c r="Y9" s="55">
        <f t="shared" ref="Y9:Z9" si="5">+Y10+Y18</f>
        <v>147423792</v>
      </c>
      <c r="Z9" s="55">
        <f t="shared" si="5"/>
        <v>-251276208</v>
      </c>
    </row>
    <row r="10" spans="1:29"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90">
        <f t="shared" ref="V10:W10" si="6">+V11+V15</f>
        <v>240000000</v>
      </c>
      <c r="W10" s="65">
        <f t="shared" si="6"/>
        <v>225660788</v>
      </c>
      <c r="X10" s="337"/>
      <c r="Y10" s="65">
        <f t="shared" ref="Y10:Z10" si="7">+Y11+Y15</f>
        <v>14339212</v>
      </c>
      <c r="Z10" s="65">
        <f t="shared" si="7"/>
        <v>-244660788</v>
      </c>
    </row>
    <row r="11" spans="1:29" x14ac:dyDescent="0.25">
      <c r="B11" s="309" t="s">
        <v>105516</v>
      </c>
      <c r="C11" s="309" t="s">
        <v>105573</v>
      </c>
      <c r="D11" s="309" t="s">
        <v>105520</v>
      </c>
      <c r="E11" s="309" t="s">
        <v>105520</v>
      </c>
      <c r="F11" s="309" t="s">
        <v>105541</v>
      </c>
      <c r="G11" s="309" t="s">
        <v>105541</v>
      </c>
      <c r="H11" s="68"/>
      <c r="I11" s="68"/>
      <c r="J11" s="68"/>
      <c r="K11" s="69"/>
      <c r="L11" s="69"/>
      <c r="M11" s="70" t="s">
        <v>106246</v>
      </c>
      <c r="N11" s="71" t="s">
        <v>112994</v>
      </c>
      <c r="O11" s="71" t="s">
        <v>112994</v>
      </c>
      <c r="P11" s="72"/>
      <c r="Q11" s="72"/>
      <c r="R11" s="73">
        <f>+R12</f>
        <v>119000000</v>
      </c>
      <c r="S11" s="74"/>
      <c r="T11" s="75"/>
      <c r="U11" s="71" t="s">
        <v>112994</v>
      </c>
      <c r="V11" s="391">
        <f t="shared" ref="V11:W11" si="8">+V12</f>
        <v>100000000</v>
      </c>
      <c r="W11" s="73">
        <f t="shared" si="8"/>
        <v>100000000</v>
      </c>
      <c r="X11" s="338"/>
      <c r="Y11" s="73">
        <f t="shared" ref="Y11:Z11" si="9">+Y12</f>
        <v>0</v>
      </c>
      <c r="Z11" s="73">
        <f t="shared" si="9"/>
        <v>-119000000</v>
      </c>
    </row>
    <row r="12" spans="1:29"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92">
        <f t="shared" ref="V12:W12" si="10">SUM(V13:V14)</f>
        <v>100000000</v>
      </c>
      <c r="W12" s="81">
        <f t="shared" si="10"/>
        <v>100000000</v>
      </c>
      <c r="X12" s="339"/>
      <c r="Y12" s="81">
        <f t="shared" ref="Y12:Z12" si="11">SUM(Y13:Y14)</f>
        <v>0</v>
      </c>
      <c r="Z12" s="81">
        <f t="shared" si="11"/>
        <v>-119000000</v>
      </c>
    </row>
    <row r="13" spans="1:29" ht="45" customHeight="1" x14ac:dyDescent="0.25">
      <c r="B13" s="84"/>
      <c r="C13" s="85"/>
      <c r="D13" s="85"/>
      <c r="E13" s="85"/>
      <c r="F13" s="85"/>
      <c r="G13" s="85"/>
      <c r="H13" s="85"/>
      <c r="I13" s="85"/>
      <c r="J13" s="86"/>
      <c r="K13" s="86" t="s">
        <v>106245</v>
      </c>
      <c r="L13" s="87" t="s">
        <v>112995</v>
      </c>
      <c r="M13" s="88" t="s">
        <v>113258</v>
      </c>
      <c r="N13" s="89">
        <v>45474</v>
      </c>
      <c r="O13" s="89" t="s">
        <v>112996</v>
      </c>
      <c r="P13" s="90" t="s">
        <v>113301</v>
      </c>
      <c r="Q13" s="90" t="s">
        <v>112998</v>
      </c>
      <c r="R13" s="94">
        <v>100000000</v>
      </c>
      <c r="S13" s="92"/>
      <c r="T13" s="93" t="s">
        <v>112999</v>
      </c>
      <c r="U13" s="276">
        <v>83624</v>
      </c>
      <c r="V13" s="277">
        <v>100000000</v>
      </c>
      <c r="W13" s="277">
        <f t="shared" ref="W13:W14" si="12">V13-Y13</f>
        <v>100000000</v>
      </c>
      <c r="X13" s="344"/>
      <c r="Y13" s="366"/>
      <c r="Z13" s="278">
        <f>Y13-R13</f>
        <v>-100000000</v>
      </c>
    </row>
    <row r="14" spans="1:29" ht="42" customHeight="1" x14ac:dyDescent="0.25">
      <c r="B14" s="84"/>
      <c r="C14" s="85"/>
      <c r="D14" s="85"/>
      <c r="E14" s="85"/>
      <c r="F14" s="85"/>
      <c r="G14" s="85"/>
      <c r="H14" s="85"/>
      <c r="I14" s="85"/>
      <c r="J14" s="86"/>
      <c r="K14" s="86" t="s">
        <v>106245</v>
      </c>
      <c r="L14" s="87" t="s">
        <v>113299</v>
      </c>
      <c r="M14" s="95" t="s">
        <v>113243</v>
      </c>
      <c r="N14" s="89">
        <v>45474</v>
      </c>
      <c r="O14" s="89" t="s">
        <v>112996</v>
      </c>
      <c r="P14" s="90" t="s">
        <v>113133</v>
      </c>
      <c r="Q14" s="90" t="s">
        <v>113050</v>
      </c>
      <c r="R14" s="94">
        <f>35000000-16000000</f>
        <v>19000000</v>
      </c>
      <c r="S14" s="92"/>
      <c r="T14" s="93" t="s">
        <v>113002</v>
      </c>
      <c r="U14" s="279"/>
      <c r="V14" s="277"/>
      <c r="W14" s="277">
        <f t="shared" si="12"/>
        <v>0</v>
      </c>
      <c r="X14" s="344"/>
      <c r="Y14" s="366"/>
      <c r="Z14" s="278">
        <f>Y14-R14</f>
        <v>-19000000</v>
      </c>
      <c r="AC14" t="s">
        <v>113342</v>
      </c>
    </row>
    <row r="15" spans="1:29" x14ac:dyDescent="0.25">
      <c r="B15" s="309" t="s">
        <v>105516</v>
      </c>
      <c r="C15" s="309" t="s">
        <v>105573</v>
      </c>
      <c r="D15" s="309" t="s">
        <v>105520</v>
      </c>
      <c r="E15" s="309" t="s">
        <v>105520</v>
      </c>
      <c r="F15" s="309" t="s">
        <v>105541</v>
      </c>
      <c r="G15" s="309" t="s">
        <v>105544</v>
      </c>
      <c r="H15" s="68"/>
      <c r="I15" s="68"/>
      <c r="J15" s="68"/>
      <c r="K15" s="69"/>
      <c r="L15" s="69"/>
      <c r="M15" s="70" t="s">
        <v>106264</v>
      </c>
      <c r="N15" s="71" t="s">
        <v>112994</v>
      </c>
      <c r="O15" s="71" t="s">
        <v>112994</v>
      </c>
      <c r="P15" s="72" t="s">
        <v>112994</v>
      </c>
      <c r="Q15" s="72"/>
      <c r="R15" s="73">
        <f>+R16</f>
        <v>140000000</v>
      </c>
      <c r="S15" s="74"/>
      <c r="T15" s="75"/>
      <c r="U15" s="71" t="s">
        <v>112994</v>
      </c>
      <c r="V15" s="391">
        <f t="shared" ref="V15:W16" si="13">+V16</f>
        <v>140000000</v>
      </c>
      <c r="W15" s="73">
        <f t="shared" si="13"/>
        <v>125660788</v>
      </c>
      <c r="X15" s="338"/>
      <c r="Y15" s="380">
        <f t="shared" ref="Y15:Z16" si="14">+Y16</f>
        <v>14339212</v>
      </c>
      <c r="Z15" s="73">
        <f t="shared" si="14"/>
        <v>-125660788</v>
      </c>
    </row>
    <row r="16" spans="1:29"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92">
        <f t="shared" si="13"/>
        <v>140000000</v>
      </c>
      <c r="W16" s="81">
        <f t="shared" si="13"/>
        <v>125660788</v>
      </c>
      <c r="X16" s="339"/>
      <c r="Y16" s="81">
        <f t="shared" si="14"/>
        <v>14339212</v>
      </c>
      <c r="Z16" s="81">
        <f t="shared" si="14"/>
        <v>-125660788</v>
      </c>
    </row>
    <row r="17" spans="1:26" ht="42.75" customHeight="1" x14ac:dyDescent="0.25">
      <c r="B17" s="84"/>
      <c r="C17" s="85"/>
      <c r="D17" s="85"/>
      <c r="E17" s="85"/>
      <c r="F17" s="85"/>
      <c r="G17" s="85"/>
      <c r="H17" s="85"/>
      <c r="I17" s="85"/>
      <c r="J17" s="86"/>
      <c r="K17" s="86" t="s">
        <v>106263</v>
      </c>
      <c r="L17" s="51">
        <v>43211500</v>
      </c>
      <c r="M17" s="97" t="s">
        <v>113338</v>
      </c>
      <c r="N17" s="89">
        <v>45536</v>
      </c>
      <c r="O17" s="89" t="s">
        <v>113074</v>
      </c>
      <c r="P17" s="90" t="s">
        <v>113005</v>
      </c>
      <c r="Q17" s="90" t="s">
        <v>113006</v>
      </c>
      <c r="R17" s="409">
        <f>100000000+40000000</f>
        <v>140000000</v>
      </c>
      <c r="S17" s="98"/>
      <c r="T17" s="93" t="s">
        <v>113002</v>
      </c>
      <c r="U17" s="276">
        <v>58524</v>
      </c>
      <c r="V17" s="277">
        <f>100000000+40000000</f>
        <v>140000000</v>
      </c>
      <c r="W17" s="277">
        <f>V17-Y17</f>
        <v>125660788</v>
      </c>
      <c r="X17" s="344" t="s">
        <v>113496</v>
      </c>
      <c r="Y17" s="366">
        <v>14339212</v>
      </c>
      <c r="Z17" s="278">
        <f>Y17-R17</f>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90">
        <f t="shared" ref="V18:W21" si="15">+V19</f>
        <v>139700000</v>
      </c>
      <c r="W18" s="65">
        <f t="shared" si="15"/>
        <v>6615420</v>
      </c>
      <c r="X18" s="337"/>
      <c r="Y18" s="65">
        <f t="shared" ref="Y18:Z21" si="16">+Y19</f>
        <v>133084580</v>
      </c>
      <c r="Z18" s="65">
        <f t="shared" si="16"/>
        <v>-6615420</v>
      </c>
    </row>
    <row r="19" spans="1:26" x14ac:dyDescent="0.25">
      <c r="B19" s="309" t="s">
        <v>105516</v>
      </c>
      <c r="C19" s="309" t="s">
        <v>105573</v>
      </c>
      <c r="D19" s="309" t="s">
        <v>105520</v>
      </c>
      <c r="E19" s="309" t="s">
        <v>105520</v>
      </c>
      <c r="F19" s="309" t="s">
        <v>105547</v>
      </c>
      <c r="G19" s="309" t="s">
        <v>105535</v>
      </c>
      <c r="H19" s="68"/>
      <c r="I19" s="68"/>
      <c r="J19" s="68"/>
      <c r="K19" s="69"/>
      <c r="L19" s="69"/>
      <c r="M19" s="70" t="s">
        <v>106388</v>
      </c>
      <c r="N19" s="71"/>
      <c r="O19" s="71"/>
      <c r="P19" s="72"/>
      <c r="Q19" s="72"/>
      <c r="R19" s="73">
        <f>+R20</f>
        <v>139700000</v>
      </c>
      <c r="S19" s="74"/>
      <c r="T19" s="75"/>
      <c r="U19" s="71" t="s">
        <v>112994</v>
      </c>
      <c r="V19" s="391">
        <f t="shared" si="15"/>
        <v>139700000</v>
      </c>
      <c r="W19" s="73">
        <f t="shared" si="15"/>
        <v>6615420</v>
      </c>
      <c r="X19" s="338"/>
      <c r="Y19" s="73">
        <f t="shared" si="16"/>
        <v>133084580</v>
      </c>
      <c r="Z19" s="73">
        <f t="shared" si="16"/>
        <v>-6615420</v>
      </c>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92">
        <f t="shared" si="15"/>
        <v>139700000</v>
      </c>
      <c r="W20" s="81">
        <f t="shared" si="15"/>
        <v>6615420</v>
      </c>
      <c r="X20" s="339"/>
      <c r="Y20" s="81">
        <f t="shared" si="16"/>
        <v>133084580</v>
      </c>
      <c r="Z20" s="81">
        <f t="shared" si="16"/>
        <v>-6615420</v>
      </c>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92">
        <f t="shared" si="15"/>
        <v>139700000</v>
      </c>
      <c r="W21" s="81">
        <f t="shared" si="15"/>
        <v>6615420</v>
      </c>
      <c r="X21" s="339"/>
      <c r="Y21" s="81">
        <f t="shared" si="16"/>
        <v>133084580</v>
      </c>
      <c r="Z21" s="81">
        <f t="shared" si="16"/>
        <v>-6615420</v>
      </c>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92">
        <f t="shared" ref="V22:W22" si="17">SUM(V23:V25)</f>
        <v>139700000</v>
      </c>
      <c r="W22" s="81">
        <f t="shared" si="17"/>
        <v>6615420</v>
      </c>
      <c r="X22" s="339"/>
      <c r="Y22" s="81">
        <f t="shared" ref="Y22:Z22" si="18">SUM(Y23:Y25)</f>
        <v>133084580</v>
      </c>
      <c r="Z22" s="81">
        <f t="shared" si="18"/>
        <v>-6615420</v>
      </c>
    </row>
    <row r="23" spans="1:26" ht="103.5" customHeight="1" x14ac:dyDescent="0.25">
      <c r="B23" s="84"/>
      <c r="C23" s="85"/>
      <c r="D23" s="85"/>
      <c r="E23" s="85"/>
      <c r="F23" s="85"/>
      <c r="G23" s="85"/>
      <c r="H23" s="85"/>
      <c r="I23" s="85"/>
      <c r="J23" s="86"/>
      <c r="K23" s="86" t="s">
        <v>106387</v>
      </c>
      <c r="L23" s="51">
        <v>43231500</v>
      </c>
      <c r="M23" s="88" t="s">
        <v>113346</v>
      </c>
      <c r="N23" s="89">
        <v>45496</v>
      </c>
      <c r="O23" s="89" t="s">
        <v>112996</v>
      </c>
      <c r="P23" s="90" t="s">
        <v>113133</v>
      </c>
      <c r="Q23" s="90" t="s">
        <v>113051</v>
      </c>
      <c r="R23" s="91">
        <f>79700000+60000000</f>
        <v>139700000</v>
      </c>
      <c r="S23" s="92"/>
      <c r="T23" s="93" t="s">
        <v>113002</v>
      </c>
      <c r="U23" s="276">
        <v>67824</v>
      </c>
      <c r="V23" s="277">
        <v>139700000</v>
      </c>
      <c r="W23" s="277">
        <f>V23-Y23</f>
        <v>6615420</v>
      </c>
      <c r="X23" s="344" t="s">
        <v>113468</v>
      </c>
      <c r="Y23" s="366">
        <v>133084580</v>
      </c>
      <c r="Z23" s="278">
        <f t="shared" ref="Z23" si="19">Y23-R23</f>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9"/>
      <c r="V24" s="277"/>
      <c r="W24" s="277">
        <f t="shared" ref="W24:W25" si="20">V24-Y24</f>
        <v>0</v>
      </c>
      <c r="X24" s="344"/>
      <c r="Y24" s="366"/>
      <c r="Z24" s="278">
        <f t="shared" ref="Z24:Z25" si="21">Y24-R24</f>
        <v>0</v>
      </c>
    </row>
    <row r="25" spans="1:26" ht="98.25" customHeight="1" x14ac:dyDescent="0.25">
      <c r="B25" s="84"/>
      <c r="C25" s="85"/>
      <c r="D25" s="85"/>
      <c r="E25" s="85"/>
      <c r="F25" s="85"/>
      <c r="G25" s="85"/>
      <c r="H25" s="85"/>
      <c r="I25" s="85"/>
      <c r="J25" s="86"/>
      <c r="K25" s="86"/>
      <c r="L25" s="51">
        <v>43231500</v>
      </c>
      <c r="M25" s="88" t="s">
        <v>113289</v>
      </c>
      <c r="N25" s="89">
        <v>45474</v>
      </c>
      <c r="O25" s="89" t="s">
        <v>112996</v>
      </c>
      <c r="P25" s="90" t="s">
        <v>113133</v>
      </c>
      <c r="Q25" s="90" t="s">
        <v>112998</v>
      </c>
      <c r="R25" s="94">
        <f>60000000-60000000</f>
        <v>0</v>
      </c>
      <c r="S25" s="92"/>
      <c r="T25" s="93" t="s">
        <v>113090</v>
      </c>
      <c r="U25" s="279"/>
      <c r="V25" s="277"/>
      <c r="W25" s="277">
        <f t="shared" si="20"/>
        <v>0</v>
      </c>
      <c r="X25" s="344"/>
      <c r="Y25" s="366"/>
      <c r="Z25" s="278">
        <f t="shared" si="21"/>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88">
        <f t="shared" ref="V26:W26" si="22">+V27+V94</f>
        <v>7219771127.6999998</v>
      </c>
      <c r="W26" s="46">
        <f t="shared" si="22"/>
        <v>622576858.29999995</v>
      </c>
      <c r="X26" s="335"/>
      <c r="Y26" s="46">
        <f t="shared" ref="Y26:Z26" si="23">+Y27+Y94</f>
        <v>6597194269.3999996</v>
      </c>
      <c r="Z26" s="46">
        <f t="shared" si="23"/>
        <v>-1213105730.5999999</v>
      </c>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89">
        <f t="shared" ref="V27:W27" si="24">+V28+V32+V45+V72</f>
        <v>1048826593</v>
      </c>
      <c r="W27" s="55">
        <f t="shared" si="24"/>
        <v>242157035.80000001</v>
      </c>
      <c r="X27" s="336"/>
      <c r="Y27" s="55">
        <f t="shared" ref="Y27:Z27" si="25">+Y28+Y32+Y45+Y72</f>
        <v>806669557.20000005</v>
      </c>
      <c r="Z27" s="55">
        <f t="shared" si="25"/>
        <v>-331668942.80000001</v>
      </c>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90">
        <f t="shared" ref="V28:W29" si="26">+V29</f>
        <v>5000000</v>
      </c>
      <c r="W28" s="65">
        <f t="shared" si="26"/>
        <v>0</v>
      </c>
      <c r="X28" s="337"/>
      <c r="Y28" s="65">
        <f t="shared" ref="Y28:Z29" si="27">+Y29</f>
        <v>5000000</v>
      </c>
      <c r="Z28" s="65">
        <f t="shared" si="27"/>
        <v>0</v>
      </c>
    </row>
    <row r="29" spans="1:26" x14ac:dyDescent="0.25">
      <c r="B29" s="309" t="s">
        <v>105516</v>
      </c>
      <c r="C29" s="309" t="s">
        <v>105573</v>
      </c>
      <c r="D29" s="309" t="s">
        <v>105573</v>
      </c>
      <c r="E29" s="309" t="s">
        <v>105520</v>
      </c>
      <c r="F29" s="309" t="s">
        <v>106438</v>
      </c>
      <c r="G29" s="309" t="s">
        <v>105528</v>
      </c>
      <c r="H29" s="68"/>
      <c r="I29" s="68"/>
      <c r="J29" s="68"/>
      <c r="K29" s="69"/>
      <c r="L29" s="69"/>
      <c r="M29" s="70" t="s">
        <v>106442</v>
      </c>
      <c r="N29" s="71"/>
      <c r="O29" s="71"/>
      <c r="P29" s="72"/>
      <c r="Q29" s="72"/>
      <c r="R29" s="73">
        <f>+R30</f>
        <v>5000000</v>
      </c>
      <c r="S29" s="74"/>
      <c r="T29" s="75"/>
      <c r="U29" s="71"/>
      <c r="V29" s="391">
        <f t="shared" si="26"/>
        <v>5000000</v>
      </c>
      <c r="W29" s="73">
        <f t="shared" si="26"/>
        <v>0</v>
      </c>
      <c r="X29" s="338"/>
      <c r="Y29" s="73">
        <f t="shared" si="27"/>
        <v>5000000</v>
      </c>
      <c r="Z29" s="73">
        <f t="shared" si="27"/>
        <v>0</v>
      </c>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113309</v>
      </c>
      <c r="N30" s="104"/>
      <c r="O30" s="104"/>
      <c r="P30" s="105"/>
      <c r="Q30" s="105"/>
      <c r="R30" s="106">
        <f>+R31</f>
        <v>5000000</v>
      </c>
      <c r="S30" s="107"/>
      <c r="T30" s="96"/>
      <c r="U30" s="104"/>
      <c r="V30" s="393">
        <f t="shared" ref="V30:W30" si="28">+V31</f>
        <v>5000000</v>
      </c>
      <c r="W30" s="106">
        <f t="shared" si="28"/>
        <v>0</v>
      </c>
      <c r="X30" s="340"/>
      <c r="Y30" s="106">
        <f t="shared" ref="Y30:Z30" si="29">+Y31</f>
        <v>5000000</v>
      </c>
      <c r="Z30" s="106">
        <f t="shared" si="29"/>
        <v>0</v>
      </c>
    </row>
    <row r="31" spans="1:26"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6">
        <v>54024</v>
      </c>
      <c r="V31" s="277">
        <v>5000000</v>
      </c>
      <c r="W31" s="277">
        <f>V31-Y31</f>
        <v>0</v>
      </c>
      <c r="X31" s="344" t="s">
        <v>113488</v>
      </c>
      <c r="Y31" s="366">
        <v>5000000</v>
      </c>
      <c r="Z31" s="278">
        <f>Y31-R31</f>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90">
        <f t="shared" ref="V32:W32" si="30">+V33+V38+V42</f>
        <v>375575360</v>
      </c>
      <c r="W32" s="65">
        <f t="shared" si="30"/>
        <v>91121406.629999995</v>
      </c>
      <c r="X32" s="337"/>
      <c r="Y32" s="65">
        <f t="shared" ref="Y32:Z32" si="31">+Y33+Y38+Y42</f>
        <v>284453953.37</v>
      </c>
      <c r="Z32" s="65">
        <f t="shared" si="31"/>
        <v>-91121406.629999995</v>
      </c>
    </row>
    <row r="33" spans="2:26" ht="30" x14ac:dyDescent="0.25">
      <c r="B33" s="309" t="s">
        <v>105516</v>
      </c>
      <c r="C33" s="309" t="s">
        <v>105573</v>
      </c>
      <c r="D33" s="309" t="s">
        <v>105573</v>
      </c>
      <c r="E33" s="309" t="s">
        <v>105520</v>
      </c>
      <c r="F33" s="309" t="s">
        <v>105535</v>
      </c>
      <c r="G33" s="309" t="s">
        <v>105538</v>
      </c>
      <c r="H33" s="68"/>
      <c r="I33" s="68"/>
      <c r="J33" s="68"/>
      <c r="K33" s="69"/>
      <c r="L33" s="69"/>
      <c r="M33" s="70" t="s">
        <v>106547</v>
      </c>
      <c r="N33" s="71"/>
      <c r="O33" s="71"/>
      <c r="P33" s="72"/>
      <c r="Q33" s="72"/>
      <c r="R33" s="73">
        <f>+R34+R36</f>
        <v>18000000</v>
      </c>
      <c r="S33" s="74"/>
      <c r="T33" s="75"/>
      <c r="U33" s="71" t="s">
        <v>112994</v>
      </c>
      <c r="V33" s="391">
        <f t="shared" ref="V33:W33" si="32">+V34+V36</f>
        <v>18000000</v>
      </c>
      <c r="W33" s="73">
        <f t="shared" si="32"/>
        <v>0</v>
      </c>
      <c r="X33" s="338"/>
      <c r="Y33" s="73">
        <f t="shared" ref="Y33:Z33" si="33">+Y34+Y36</f>
        <v>18000000</v>
      </c>
      <c r="Z33" s="73">
        <f t="shared" si="33"/>
        <v>0</v>
      </c>
    </row>
    <row r="34" spans="2:26" x14ac:dyDescent="0.25">
      <c r="B34" s="76" t="s">
        <v>105516</v>
      </c>
      <c r="C34" s="76" t="s">
        <v>105573</v>
      </c>
      <c r="D34" s="76" t="s">
        <v>105573</v>
      </c>
      <c r="E34" s="76" t="s">
        <v>105520</v>
      </c>
      <c r="F34" s="76" t="s">
        <v>105535</v>
      </c>
      <c r="G34" s="76" t="s">
        <v>105538</v>
      </c>
      <c r="H34" s="76" t="s">
        <v>105924</v>
      </c>
      <c r="I34" s="76"/>
      <c r="J34" s="76"/>
      <c r="K34" s="76"/>
      <c r="L34" s="76"/>
      <c r="M34" s="78" t="s">
        <v>113310</v>
      </c>
      <c r="N34" s="79"/>
      <c r="O34" s="79"/>
      <c r="P34" s="80"/>
      <c r="Q34" s="80"/>
      <c r="R34" s="81">
        <f>+R35</f>
        <v>9000000</v>
      </c>
      <c r="S34" s="82"/>
      <c r="T34" s="96"/>
      <c r="U34" s="79"/>
      <c r="V34" s="392">
        <f t="shared" ref="V34:W34" si="34">+V35</f>
        <v>9000000</v>
      </c>
      <c r="W34" s="81">
        <f t="shared" si="34"/>
        <v>0</v>
      </c>
      <c r="X34" s="339"/>
      <c r="Y34" s="81">
        <f t="shared" ref="Y34:Z34" si="35">+Y35</f>
        <v>9000000</v>
      </c>
      <c r="Z34" s="81">
        <f t="shared" si="35"/>
        <v>0</v>
      </c>
    </row>
    <row r="35" spans="2:26"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6">
        <v>54024</v>
      </c>
      <c r="V35" s="277">
        <v>9000000</v>
      </c>
      <c r="W35" s="277">
        <f>V35-Y35</f>
        <v>0</v>
      </c>
      <c r="X35" s="344" t="s">
        <v>113488</v>
      </c>
      <c r="Y35" s="366">
        <v>9000000</v>
      </c>
      <c r="Z35" s="278">
        <f>Y35-R35</f>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92">
        <f t="shared" ref="V36:W36" si="36">+V37</f>
        <v>9000000</v>
      </c>
      <c r="W36" s="81">
        <f t="shared" si="36"/>
        <v>0</v>
      </c>
      <c r="X36" s="339"/>
      <c r="Y36" s="81">
        <f t="shared" ref="Y36:Z36" si="37">+Y37</f>
        <v>9000000</v>
      </c>
      <c r="Z36" s="81">
        <f t="shared" si="37"/>
        <v>0</v>
      </c>
    </row>
    <row r="37" spans="2:26"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6">
        <v>54024</v>
      </c>
      <c r="V37" s="277">
        <v>9000000</v>
      </c>
      <c r="W37" s="277">
        <f>V37-Y37</f>
        <v>0</v>
      </c>
      <c r="X37" s="344" t="s">
        <v>113488</v>
      </c>
      <c r="Y37" s="366">
        <v>9000000</v>
      </c>
      <c r="Z37" s="278">
        <f>Y37-R37</f>
        <v>0</v>
      </c>
    </row>
    <row r="38" spans="2:26" ht="15" customHeight="1" x14ac:dyDescent="0.25">
      <c r="B38" s="309" t="s">
        <v>105516</v>
      </c>
      <c r="C38" s="309" t="s">
        <v>105573</v>
      </c>
      <c r="D38" s="309" t="s">
        <v>105573</v>
      </c>
      <c r="E38" s="309" t="s">
        <v>105520</v>
      </c>
      <c r="F38" s="309" t="s">
        <v>105535</v>
      </c>
      <c r="G38" s="309" t="s">
        <v>105550</v>
      </c>
      <c r="H38" s="68"/>
      <c r="I38" s="68"/>
      <c r="J38" s="68"/>
      <c r="K38" s="69"/>
      <c r="L38" s="69"/>
      <c r="M38" s="70" t="s">
        <v>106581</v>
      </c>
      <c r="N38" s="71"/>
      <c r="O38" s="71"/>
      <c r="P38" s="72"/>
      <c r="Q38" s="72"/>
      <c r="R38" s="73">
        <f>SUM(R39:R41)</f>
        <v>57575360</v>
      </c>
      <c r="S38" s="74"/>
      <c r="T38" s="75"/>
      <c r="U38" s="71" t="s">
        <v>112994</v>
      </c>
      <c r="V38" s="391">
        <f t="shared" ref="V38:W38" si="38">SUM(V39:V41)</f>
        <v>57575360</v>
      </c>
      <c r="W38" s="73">
        <f t="shared" si="38"/>
        <v>13317993</v>
      </c>
      <c r="X38" s="338"/>
      <c r="Y38" s="73">
        <f t="shared" ref="Y38:Z38" si="39">SUM(Y39:Y41)</f>
        <v>44257367</v>
      </c>
      <c r="Z38" s="73">
        <f t="shared" si="39"/>
        <v>-13317993</v>
      </c>
    </row>
    <row r="39" spans="2:26"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6">
        <v>54024</v>
      </c>
      <c r="V39" s="277">
        <v>800000</v>
      </c>
      <c r="W39" s="277">
        <f t="shared" ref="W39:W41" si="40">V39-Y39</f>
        <v>0</v>
      </c>
      <c r="X39" s="344" t="s">
        <v>113488</v>
      </c>
      <c r="Y39" s="366">
        <v>800000</v>
      </c>
      <c r="Z39" s="278">
        <f>Y39-R39</f>
        <v>0</v>
      </c>
    </row>
    <row r="40" spans="2:26" ht="60" x14ac:dyDescent="0.25">
      <c r="B40" s="84"/>
      <c r="C40" s="85"/>
      <c r="D40" s="85"/>
      <c r="E40" s="85"/>
      <c r="F40" s="85"/>
      <c r="G40" s="85"/>
      <c r="H40" s="85"/>
      <c r="I40" s="85"/>
      <c r="J40" s="86"/>
      <c r="K40" s="86"/>
      <c r="L40" s="87" t="s">
        <v>113464</v>
      </c>
      <c r="M40" s="97" t="s">
        <v>113465</v>
      </c>
      <c r="N40" s="89">
        <v>45536</v>
      </c>
      <c r="O40" s="89" t="s">
        <v>113074</v>
      </c>
      <c r="P40" s="90" t="s">
        <v>113043</v>
      </c>
      <c r="Q40" s="90" t="s">
        <v>113050</v>
      </c>
      <c r="R40" s="91">
        <f>9714000-2938640</f>
        <v>6775360</v>
      </c>
      <c r="S40" s="92"/>
      <c r="T40" s="93" t="s">
        <v>113017</v>
      </c>
      <c r="U40" s="276">
        <v>81424</v>
      </c>
      <c r="V40" s="277">
        <v>6775360</v>
      </c>
      <c r="W40" s="277">
        <f t="shared" si="40"/>
        <v>6775360</v>
      </c>
      <c r="X40" s="344"/>
      <c r="Y40" s="366"/>
      <c r="Z40" s="278">
        <f>Y40-R40</f>
        <v>-6775360</v>
      </c>
    </row>
    <row r="41" spans="2:26"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6">
        <v>59624</v>
      </c>
      <c r="V41" s="277">
        <v>50000000</v>
      </c>
      <c r="W41" s="277">
        <f t="shared" si="40"/>
        <v>6542633</v>
      </c>
      <c r="X41" s="344" t="s">
        <v>113503</v>
      </c>
      <c r="Y41" s="366">
        <v>43457367</v>
      </c>
      <c r="Z41" s="278">
        <f>Y41-R41</f>
        <v>-6542633</v>
      </c>
    </row>
    <row r="42" spans="2:26" x14ac:dyDescent="0.25">
      <c r="B42" s="309" t="s">
        <v>105516</v>
      </c>
      <c r="C42" s="309" t="s">
        <v>105573</v>
      </c>
      <c r="D42" s="309" t="s">
        <v>105573</v>
      </c>
      <c r="E42" s="309" t="s">
        <v>105520</v>
      </c>
      <c r="F42" s="309" t="s">
        <v>105535</v>
      </c>
      <c r="G42" s="309" t="s">
        <v>105553</v>
      </c>
      <c r="H42" s="68"/>
      <c r="I42" s="68"/>
      <c r="J42" s="68"/>
      <c r="K42" s="69"/>
      <c r="L42" s="69"/>
      <c r="M42" s="70" t="s">
        <v>106583</v>
      </c>
      <c r="N42" s="71"/>
      <c r="O42" s="71"/>
      <c r="P42" s="72"/>
      <c r="Q42" s="72"/>
      <c r="R42" s="73">
        <f>SUM(R43:R44)</f>
        <v>300000000</v>
      </c>
      <c r="S42" s="74"/>
      <c r="T42" s="75"/>
      <c r="U42" s="71" t="s">
        <v>112994</v>
      </c>
      <c r="V42" s="391">
        <f t="shared" ref="V42:W42" si="41">SUM(V43:V44)</f>
        <v>300000000</v>
      </c>
      <c r="W42" s="73">
        <f t="shared" si="41"/>
        <v>77803413.629999995</v>
      </c>
      <c r="X42" s="338"/>
      <c r="Y42" s="73">
        <f t="shared" ref="Y42:Z42" si="42">SUM(Y43:Y44)</f>
        <v>222196586.37</v>
      </c>
      <c r="Z42" s="73">
        <f t="shared" si="42"/>
        <v>-77803413.629999995</v>
      </c>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6">
        <v>33024</v>
      </c>
      <c r="V43" s="277">
        <v>100000000</v>
      </c>
      <c r="W43" s="277">
        <f>V43-Y43</f>
        <v>58170113.630000003</v>
      </c>
      <c r="X43" s="359" t="s">
        <v>113363</v>
      </c>
      <c r="Y43" s="366">
        <f>1685501+30618985.9+6233665.54+3291733.93</f>
        <v>41829886.369999997</v>
      </c>
      <c r="Z43" s="278">
        <f>Y43-R43</f>
        <v>-58170113.630000003</v>
      </c>
    </row>
    <row r="44" spans="2:26"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6">
        <v>59624</v>
      </c>
      <c r="V44" s="277">
        <v>200000000</v>
      </c>
      <c r="W44" s="277">
        <f>V44-Y44</f>
        <v>19633300</v>
      </c>
      <c r="X44" s="344" t="s">
        <v>113503</v>
      </c>
      <c r="Y44" s="366">
        <v>180366700</v>
      </c>
      <c r="Z44" s="278">
        <f>Y44-R44</f>
        <v>-19633300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90">
        <f t="shared" ref="V45:W45" si="43">+V46+V52+V57+V62+V69</f>
        <v>311288093</v>
      </c>
      <c r="W45" s="65">
        <f t="shared" si="43"/>
        <v>20006118</v>
      </c>
      <c r="X45" s="337"/>
      <c r="Y45" s="65">
        <f t="shared" ref="Y45:Z45" si="44">+Y46+Y52+Y57+Y62+Y69</f>
        <v>291281975</v>
      </c>
      <c r="Z45" s="65">
        <f t="shared" si="44"/>
        <v>-40518025</v>
      </c>
    </row>
    <row r="46" spans="2:26" ht="30" x14ac:dyDescent="0.25">
      <c r="B46" s="309" t="s">
        <v>105516</v>
      </c>
      <c r="C46" s="309" t="s">
        <v>105573</v>
      </c>
      <c r="D46" s="309" t="s">
        <v>105573</v>
      </c>
      <c r="E46" s="309" t="s">
        <v>105520</v>
      </c>
      <c r="F46" s="309" t="s">
        <v>105538</v>
      </c>
      <c r="G46" s="309" t="s">
        <v>105535</v>
      </c>
      <c r="H46" s="68"/>
      <c r="I46" s="68"/>
      <c r="J46" s="68"/>
      <c r="K46" s="69"/>
      <c r="L46" s="69"/>
      <c r="M46" s="70" t="s">
        <v>113311</v>
      </c>
      <c r="N46" s="71"/>
      <c r="O46" s="71"/>
      <c r="P46" s="72"/>
      <c r="Q46" s="72"/>
      <c r="R46" s="73">
        <f>+R47+R50</f>
        <v>67000000</v>
      </c>
      <c r="S46" s="74"/>
      <c r="T46" s="75"/>
      <c r="U46" s="71" t="s">
        <v>112994</v>
      </c>
      <c r="V46" s="391">
        <f t="shared" ref="V46:W46" si="45">+V47+V50</f>
        <v>63245283</v>
      </c>
      <c r="W46" s="73">
        <f t="shared" si="45"/>
        <v>0</v>
      </c>
      <c r="X46" s="338"/>
      <c r="Y46" s="73">
        <f t="shared" ref="Y46:Z46" si="46">+Y47+Y50</f>
        <v>63245283</v>
      </c>
      <c r="Z46" s="73">
        <f t="shared" si="46"/>
        <v>-3754717</v>
      </c>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92">
        <f t="shared" ref="V47:W47" si="47">SUM(V48:V49)</f>
        <v>61500000</v>
      </c>
      <c r="W47" s="81">
        <f t="shared" si="47"/>
        <v>0</v>
      </c>
      <c r="X47" s="339"/>
      <c r="Y47" s="81">
        <f t="shared" ref="Y47:Z47" si="48">SUM(Y48:Y49)</f>
        <v>61500000</v>
      </c>
      <c r="Z47" s="81">
        <f t="shared" si="48"/>
        <v>0</v>
      </c>
    </row>
    <row r="48" spans="2:26"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6">
        <v>54024</v>
      </c>
      <c r="V48" s="277">
        <v>16500000</v>
      </c>
      <c r="W48" s="277">
        <f>V48-Y48</f>
        <v>0</v>
      </c>
      <c r="X48" s="344" t="s">
        <v>113488</v>
      </c>
      <c r="Y48" s="366">
        <v>16500000</v>
      </c>
      <c r="Z48" s="278">
        <f>Y48-R48</f>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6">
        <v>30224</v>
      </c>
      <c r="V49" s="277">
        <v>45000000</v>
      </c>
      <c r="W49" s="277">
        <f>V49-Y49</f>
        <v>0</v>
      </c>
      <c r="X49" s="344" t="s">
        <v>113362</v>
      </c>
      <c r="Y49" s="366">
        <v>45000000</v>
      </c>
      <c r="Z49" s="278">
        <f>Y49-R49</f>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92">
        <f t="shared" ref="V50:W50" si="49">SUM(V51:V51)</f>
        <v>1745283</v>
      </c>
      <c r="W50" s="81">
        <f t="shared" si="49"/>
        <v>0</v>
      </c>
      <c r="X50" s="339"/>
      <c r="Y50" s="81">
        <f t="shared" ref="Y50:Z50" si="50">SUM(Y51:Y51)</f>
        <v>1745283</v>
      </c>
      <c r="Z50" s="81">
        <f t="shared" si="50"/>
        <v>-3754717</v>
      </c>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80" t="s">
        <v>113292</v>
      </c>
      <c r="V51" s="277">
        <v>1745283</v>
      </c>
      <c r="W51" s="277">
        <f>V51-Y51</f>
        <v>0</v>
      </c>
      <c r="X51" s="344" t="s">
        <v>113364</v>
      </c>
      <c r="Y51" s="277">
        <v>1745283</v>
      </c>
      <c r="Z51" s="278">
        <f>Y51-R51</f>
        <v>-3754717</v>
      </c>
    </row>
    <row r="52" spans="2:26" ht="30" x14ac:dyDescent="0.25">
      <c r="B52" s="309" t="s">
        <v>105516</v>
      </c>
      <c r="C52" s="309" t="s">
        <v>105573</v>
      </c>
      <c r="D52" s="309" t="s">
        <v>105573</v>
      </c>
      <c r="E52" s="309" t="s">
        <v>105520</v>
      </c>
      <c r="F52" s="309" t="s">
        <v>105538</v>
      </c>
      <c r="G52" s="309" t="s">
        <v>105538</v>
      </c>
      <c r="H52" s="68"/>
      <c r="I52" s="68"/>
      <c r="J52" s="68"/>
      <c r="K52" s="69"/>
      <c r="L52" s="69"/>
      <c r="M52" s="70" t="s">
        <v>106611</v>
      </c>
      <c r="N52" s="71"/>
      <c r="O52" s="71"/>
      <c r="P52" s="72"/>
      <c r="Q52" s="72"/>
      <c r="R52" s="73">
        <f>+R53+R55</f>
        <v>50000000</v>
      </c>
      <c r="S52" s="74"/>
      <c r="T52" s="75"/>
      <c r="U52" s="71" t="s">
        <v>112994</v>
      </c>
      <c r="V52" s="391">
        <f t="shared" ref="V52:W52" si="51">+V53+V55</f>
        <v>50000000</v>
      </c>
      <c r="W52" s="73">
        <f t="shared" si="51"/>
        <v>0</v>
      </c>
      <c r="X52" s="338"/>
      <c r="Y52" s="73">
        <f t="shared" ref="Y52:Z52" si="52">+Y53+Y55</f>
        <v>50000000</v>
      </c>
      <c r="Z52" s="73">
        <f t="shared" si="52"/>
        <v>0</v>
      </c>
    </row>
    <row r="53" spans="2:26" ht="75"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92">
        <f t="shared" ref="V53:W53" si="53">+V54</f>
        <v>10000000</v>
      </c>
      <c r="W53" s="81">
        <f t="shared" si="53"/>
        <v>0</v>
      </c>
      <c r="X53" s="339"/>
      <c r="Y53" s="81">
        <f t="shared" ref="Y53:Z53" si="54">+Y54</f>
        <v>10000000</v>
      </c>
      <c r="Z53" s="81">
        <f t="shared" si="54"/>
        <v>0</v>
      </c>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6">
        <v>52524</v>
      </c>
      <c r="V54" s="277">
        <v>10000000</v>
      </c>
      <c r="W54" s="277">
        <f>V54-Y54</f>
        <v>0</v>
      </c>
      <c r="X54" s="344" t="s">
        <v>113491</v>
      </c>
      <c r="Y54" s="366">
        <v>10000000</v>
      </c>
      <c r="Z54" s="278">
        <f>Y54-R54</f>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92">
        <f t="shared" ref="V55:W55" si="55">+V56</f>
        <v>40000000</v>
      </c>
      <c r="W55" s="81">
        <f t="shared" si="55"/>
        <v>0</v>
      </c>
      <c r="X55" s="339"/>
      <c r="Y55" s="81">
        <f t="shared" ref="Y55:Z55" si="56">+Y56</f>
        <v>40000000</v>
      </c>
      <c r="Z55" s="81">
        <f t="shared" si="56"/>
        <v>0</v>
      </c>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6">
        <v>8324</v>
      </c>
      <c r="V56" s="277">
        <v>40000000</v>
      </c>
      <c r="W56" s="277">
        <f>V56-Y56</f>
        <v>0</v>
      </c>
      <c r="X56" s="344" t="s">
        <v>113365</v>
      </c>
      <c r="Y56" s="366">
        <v>40000000</v>
      </c>
      <c r="Z56" s="278">
        <f>Y56-R56</f>
        <v>0</v>
      </c>
    </row>
    <row r="57" spans="2:26" ht="30" x14ac:dyDescent="0.25">
      <c r="B57" s="309" t="s">
        <v>105516</v>
      </c>
      <c r="C57" s="309" t="s">
        <v>105573</v>
      </c>
      <c r="D57" s="309" t="s">
        <v>105573</v>
      </c>
      <c r="E57" s="309" t="s">
        <v>105520</v>
      </c>
      <c r="F57" s="309" t="s">
        <v>105538</v>
      </c>
      <c r="G57" s="309" t="s">
        <v>105544</v>
      </c>
      <c r="H57" s="68"/>
      <c r="I57" s="68"/>
      <c r="J57" s="68"/>
      <c r="K57" s="69"/>
      <c r="L57" s="69"/>
      <c r="M57" s="70" t="s">
        <v>106645</v>
      </c>
      <c r="N57" s="71"/>
      <c r="O57" s="71"/>
      <c r="P57" s="72"/>
      <c r="Q57" s="72"/>
      <c r="R57" s="73">
        <f>+R58+R60</f>
        <v>80000000</v>
      </c>
      <c r="S57" s="74"/>
      <c r="T57" s="75"/>
      <c r="U57" s="71" t="s">
        <v>112994</v>
      </c>
      <c r="V57" s="391">
        <f t="shared" ref="V57:W57" si="57">+V58+V60</f>
        <v>80000000</v>
      </c>
      <c r="W57" s="73">
        <f t="shared" si="57"/>
        <v>0</v>
      </c>
      <c r="X57" s="338"/>
      <c r="Y57" s="73">
        <f t="shared" ref="Y57:Z57" si="58">+Y58+Y60</f>
        <v>80000000</v>
      </c>
      <c r="Z57" s="73">
        <f t="shared" si="58"/>
        <v>0</v>
      </c>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92">
        <f t="shared" ref="V58:W58" si="59">+V59</f>
        <v>65000000</v>
      </c>
      <c r="W58" s="81">
        <f t="shared" si="59"/>
        <v>0</v>
      </c>
      <c r="X58" s="339"/>
      <c r="Y58" s="81">
        <f t="shared" ref="Y58:Z58" si="60">+Y59</f>
        <v>65000000</v>
      </c>
      <c r="Z58" s="81">
        <f t="shared" si="60"/>
        <v>0</v>
      </c>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113266</v>
      </c>
      <c r="R59" s="91">
        <v>65000000</v>
      </c>
      <c r="S59" s="92"/>
      <c r="T59" s="93" t="s">
        <v>113002</v>
      </c>
      <c r="U59" s="276">
        <v>30224</v>
      </c>
      <c r="V59" s="277">
        <v>65000000</v>
      </c>
      <c r="W59" s="277">
        <f>V59-Y59</f>
        <v>0</v>
      </c>
      <c r="X59" s="344" t="s">
        <v>113362</v>
      </c>
      <c r="Y59" s="366">
        <v>65000000</v>
      </c>
      <c r="Z59" s="278">
        <f>Y59-R59</f>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92">
        <f t="shared" ref="V60:W60" si="61">+V61</f>
        <v>15000000</v>
      </c>
      <c r="W60" s="81">
        <f t="shared" si="61"/>
        <v>0</v>
      </c>
      <c r="X60" s="339"/>
      <c r="Y60" s="81">
        <f t="shared" ref="Y60:Z60" si="62">+Y61</f>
        <v>15000000</v>
      </c>
      <c r="Z60" s="81">
        <f t="shared" si="62"/>
        <v>0</v>
      </c>
    </row>
    <row r="61" spans="2:26"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6">
        <v>54024</v>
      </c>
      <c r="V61" s="277">
        <v>15000000</v>
      </c>
      <c r="W61" s="277">
        <f>V61-Y61</f>
        <v>0</v>
      </c>
      <c r="X61" s="344" t="s">
        <v>113488</v>
      </c>
      <c r="Y61" s="366">
        <v>15000000</v>
      </c>
      <c r="Z61" s="278">
        <f>Y61-R61</f>
        <v>0</v>
      </c>
    </row>
    <row r="62" spans="2:26" x14ac:dyDescent="0.25">
      <c r="B62" s="309" t="s">
        <v>105516</v>
      </c>
      <c r="C62" s="309" t="s">
        <v>105573</v>
      </c>
      <c r="D62" s="309" t="s">
        <v>105573</v>
      </c>
      <c r="E62" s="309" t="s">
        <v>105520</v>
      </c>
      <c r="F62" s="309" t="s">
        <v>105538</v>
      </c>
      <c r="G62" s="309" t="s">
        <v>105547</v>
      </c>
      <c r="H62" s="68"/>
      <c r="I62" s="68"/>
      <c r="J62" s="68"/>
      <c r="K62" s="69"/>
      <c r="L62" s="69"/>
      <c r="M62" s="70" t="s">
        <v>106657</v>
      </c>
      <c r="N62" s="71"/>
      <c r="O62" s="71"/>
      <c r="P62" s="72"/>
      <c r="Q62" s="72"/>
      <c r="R62" s="73">
        <f>+R63+R65+R67</f>
        <v>105000000</v>
      </c>
      <c r="S62" s="74"/>
      <c r="T62" s="75"/>
      <c r="U62" s="71" t="s">
        <v>112994</v>
      </c>
      <c r="V62" s="391">
        <f>+V63+V65+V67</f>
        <v>105000000</v>
      </c>
      <c r="W62" s="73">
        <f t="shared" ref="W62" si="63">+W63+W65+W67</f>
        <v>20006118</v>
      </c>
      <c r="X62" s="338"/>
      <c r="Y62" s="73">
        <f t="shared" ref="Y62:Z62" si="64">+Y63+Y65+Y67</f>
        <v>84993882</v>
      </c>
      <c r="Z62" s="73">
        <f t="shared" si="64"/>
        <v>-20006118</v>
      </c>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92">
        <f t="shared" ref="V63:W63" si="65">+V64</f>
        <v>10000000</v>
      </c>
      <c r="W63" s="81">
        <f t="shared" si="65"/>
        <v>10000000</v>
      </c>
      <c r="X63" s="339"/>
      <c r="Y63" s="81">
        <f t="shared" ref="Y63:Z63" si="66">+Y64</f>
        <v>0</v>
      </c>
      <c r="Z63" s="81">
        <f t="shared" si="66"/>
        <v>-10000000</v>
      </c>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113265</v>
      </c>
      <c r="R64" s="91">
        <v>10000000</v>
      </c>
      <c r="S64" s="92"/>
      <c r="T64" s="93" t="s">
        <v>113033</v>
      </c>
      <c r="U64" s="276">
        <v>52624</v>
      </c>
      <c r="V64" s="277">
        <v>10000000</v>
      </c>
      <c r="W64" s="277">
        <f>V64-Y64</f>
        <v>10000000</v>
      </c>
      <c r="X64" s="344"/>
      <c r="Y64" s="366"/>
      <c r="Z64" s="278">
        <f>Y64-R64</f>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92">
        <f t="shared" ref="V65:W65" si="67">+V66</f>
        <v>85000000</v>
      </c>
      <c r="W65" s="81">
        <f t="shared" si="67"/>
        <v>10006118</v>
      </c>
      <c r="X65" s="339"/>
      <c r="Y65" s="81">
        <f t="shared" ref="Y65:Z65" si="68">+Y66</f>
        <v>74993882</v>
      </c>
      <c r="Z65" s="81">
        <f t="shared" si="68"/>
        <v>-10006118</v>
      </c>
    </row>
    <row r="66" spans="1:26"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6">
        <v>59624</v>
      </c>
      <c r="V66" s="277">
        <v>85000000</v>
      </c>
      <c r="W66" s="277">
        <f>V66-Y66</f>
        <v>10006118</v>
      </c>
      <c r="X66" s="344" t="s">
        <v>113503</v>
      </c>
      <c r="Y66" s="366">
        <v>74993882</v>
      </c>
      <c r="Z66" s="278">
        <f>Y66-R66</f>
        <v>-10006118</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93">
        <f>+V68</f>
        <v>10000000</v>
      </c>
      <c r="W67" s="106">
        <f>+W68</f>
        <v>0</v>
      </c>
      <c r="X67" s="339"/>
      <c r="Y67" s="106">
        <f>+Y68</f>
        <v>10000000</v>
      </c>
      <c r="Z67" s="106">
        <f>+Z68</f>
        <v>0</v>
      </c>
    </row>
    <row r="68" spans="1:26"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6">
        <v>54024</v>
      </c>
      <c r="V68" s="277">
        <v>10000000</v>
      </c>
      <c r="W68" s="277">
        <f>V68-Y68</f>
        <v>0</v>
      </c>
      <c r="X68" s="344" t="s">
        <v>113488</v>
      </c>
      <c r="Y68" s="366">
        <v>10000000</v>
      </c>
      <c r="Z68" s="278">
        <f>Y68-R68</f>
        <v>0</v>
      </c>
    </row>
    <row r="69" spans="1:26" x14ac:dyDescent="0.25">
      <c r="B69" s="309" t="s">
        <v>105516</v>
      </c>
      <c r="C69" s="309" t="s">
        <v>105573</v>
      </c>
      <c r="D69" s="309" t="s">
        <v>105573</v>
      </c>
      <c r="E69" s="309" t="s">
        <v>105520</v>
      </c>
      <c r="F69" s="309" t="s">
        <v>105538</v>
      </c>
      <c r="G69" s="309" t="s">
        <v>105553</v>
      </c>
      <c r="H69" s="68"/>
      <c r="I69" s="68"/>
      <c r="J69" s="68"/>
      <c r="K69" s="69"/>
      <c r="L69" s="69"/>
      <c r="M69" s="70" t="s">
        <v>106685</v>
      </c>
      <c r="N69" s="71"/>
      <c r="O69" s="71"/>
      <c r="P69" s="72"/>
      <c r="Q69" s="72"/>
      <c r="R69" s="73">
        <f>+R70</f>
        <v>29800000</v>
      </c>
      <c r="S69" s="74"/>
      <c r="T69" s="75"/>
      <c r="U69" s="71" t="s">
        <v>112994</v>
      </c>
      <c r="V69" s="391">
        <f t="shared" ref="V69:W70" si="69">+V70</f>
        <v>13042810</v>
      </c>
      <c r="W69" s="73">
        <f t="shared" si="69"/>
        <v>0</v>
      </c>
      <c r="X69" s="338"/>
      <c r="Y69" s="73">
        <f t="shared" ref="Y69:Z70" si="70">+Y70</f>
        <v>13042810</v>
      </c>
      <c r="Z69" s="73">
        <f t="shared" si="70"/>
        <v>-16757190</v>
      </c>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93">
        <f t="shared" si="69"/>
        <v>13042810</v>
      </c>
      <c r="W70" s="106">
        <f t="shared" si="69"/>
        <v>0</v>
      </c>
      <c r="X70" s="339"/>
      <c r="Y70" s="106">
        <f t="shared" si="70"/>
        <v>13042810</v>
      </c>
      <c r="Z70" s="106">
        <f t="shared" si="70"/>
        <v>-16757190</v>
      </c>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81" t="s">
        <v>113339</v>
      </c>
      <c r="V71" s="282">
        <v>13042810</v>
      </c>
      <c r="W71" s="277">
        <f>V71-Y71</f>
        <v>0</v>
      </c>
      <c r="X71" s="345" t="s">
        <v>113366</v>
      </c>
      <c r="Y71" s="282">
        <v>13042810</v>
      </c>
      <c r="Z71" s="278">
        <f>Y71-R71</f>
        <v>-16757190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425963140</v>
      </c>
      <c r="S72" s="66"/>
      <c r="T72" s="67"/>
      <c r="U72" s="63" t="s">
        <v>112994</v>
      </c>
      <c r="V72" s="390">
        <f t="shared" ref="V72:W72" si="71">+V75+V78+V81+V89+V73</f>
        <v>356963140</v>
      </c>
      <c r="W72" s="65">
        <f t="shared" si="71"/>
        <v>131029511.17</v>
      </c>
      <c r="X72" s="337"/>
      <c r="Y72" s="65">
        <f t="shared" ref="Y72:Z72" si="72">+Y75+Y78+Y81+Y89+Y73</f>
        <v>225933628.82999998</v>
      </c>
      <c r="Z72" s="65">
        <f t="shared" si="72"/>
        <v>-200029511.17000002</v>
      </c>
    </row>
    <row r="73" spans="1:26" ht="30" x14ac:dyDescent="0.25">
      <c r="B73" s="309" t="s">
        <v>105516</v>
      </c>
      <c r="C73" s="309" t="s">
        <v>105573</v>
      </c>
      <c r="D73" s="309" t="s">
        <v>105573</v>
      </c>
      <c r="E73" s="309" t="s">
        <v>105520</v>
      </c>
      <c r="F73" s="309" t="s">
        <v>105541</v>
      </c>
      <c r="G73" s="310" t="s">
        <v>105535</v>
      </c>
      <c r="H73" s="68"/>
      <c r="I73" s="68"/>
      <c r="J73" s="68"/>
      <c r="K73" s="69"/>
      <c r="L73" s="69"/>
      <c r="M73" s="70" t="s">
        <v>106709</v>
      </c>
      <c r="N73" s="71"/>
      <c r="O73" s="71"/>
      <c r="P73" s="72"/>
      <c r="Q73" s="72"/>
      <c r="R73" s="73">
        <f>R74</f>
        <v>20408075.170000002</v>
      </c>
      <c r="S73" s="74"/>
      <c r="T73" s="75"/>
      <c r="U73" s="71" t="s">
        <v>112994</v>
      </c>
      <c r="V73" s="391">
        <f t="shared" ref="V73:W73" si="73">V74</f>
        <v>20408075.170000002</v>
      </c>
      <c r="W73" s="73">
        <f t="shared" si="73"/>
        <v>20408075.170000002</v>
      </c>
      <c r="X73" s="338"/>
      <c r="Y73" s="73">
        <f t="shared" ref="Y73:Z73" si="74">Y74</f>
        <v>0</v>
      </c>
      <c r="Z73" s="73">
        <f t="shared" si="74"/>
        <v>-20408075.170000002</v>
      </c>
    </row>
    <row r="74" spans="1:26" ht="60" x14ac:dyDescent="0.25">
      <c r="B74" s="84"/>
      <c r="C74" s="85"/>
      <c r="D74" s="85"/>
      <c r="E74" s="85"/>
      <c r="F74" s="85"/>
      <c r="G74" s="85"/>
      <c r="H74" s="85"/>
      <c r="I74" s="85"/>
      <c r="J74" s="86"/>
      <c r="K74" s="86" t="s">
        <v>106717</v>
      </c>
      <c r="L74" s="87" t="s">
        <v>113464</v>
      </c>
      <c r="M74" s="88" t="s">
        <v>113465</v>
      </c>
      <c r="N74" s="89">
        <v>45536</v>
      </c>
      <c r="O74" s="89" t="s">
        <v>113074</v>
      </c>
      <c r="P74" s="90" t="s">
        <v>113043</v>
      </c>
      <c r="Q74" s="90" t="s">
        <v>113050</v>
      </c>
      <c r="R74" s="91">
        <f>17469435.17+2938640</f>
        <v>20408075.170000002</v>
      </c>
      <c r="S74" s="92"/>
      <c r="T74" s="93" t="s">
        <v>113017</v>
      </c>
      <c r="U74" s="276">
        <v>81424</v>
      </c>
      <c r="V74" s="277">
        <v>20408075.170000002</v>
      </c>
      <c r="W74" s="277">
        <f>V74-Y74</f>
        <v>20408075.170000002</v>
      </c>
      <c r="X74" s="344"/>
      <c r="Y74" s="366"/>
      <c r="Z74" s="278">
        <f>Y74-R74</f>
        <v>-20408075.170000002</v>
      </c>
    </row>
    <row r="75" spans="1:26" x14ac:dyDescent="0.25">
      <c r="B75" s="309" t="s">
        <v>105516</v>
      </c>
      <c r="C75" s="309" t="s">
        <v>105573</v>
      </c>
      <c r="D75" s="309" t="s">
        <v>105573</v>
      </c>
      <c r="E75" s="309" t="s">
        <v>105520</v>
      </c>
      <c r="F75" s="309" t="s">
        <v>105541</v>
      </c>
      <c r="G75" s="309" t="s">
        <v>105541</v>
      </c>
      <c r="H75" s="68"/>
      <c r="I75" s="68"/>
      <c r="J75" s="68"/>
      <c r="K75" s="69"/>
      <c r="L75" s="69"/>
      <c r="M75" s="70" t="s">
        <v>106246</v>
      </c>
      <c r="N75" s="71"/>
      <c r="O75" s="71"/>
      <c r="P75" s="72"/>
      <c r="Q75" s="72"/>
      <c r="R75" s="73">
        <f>+R76</f>
        <v>65330564.829999998</v>
      </c>
      <c r="S75" s="74"/>
      <c r="T75" s="75"/>
      <c r="U75" s="71" t="s">
        <v>112994</v>
      </c>
      <c r="V75" s="391">
        <f t="shared" ref="V75:W76" si="75">+V76</f>
        <v>65330564.829999998</v>
      </c>
      <c r="W75" s="73">
        <f t="shared" si="75"/>
        <v>0</v>
      </c>
      <c r="X75" s="338"/>
      <c r="Y75" s="73">
        <f t="shared" ref="Y75:Z76" si="76">+Y76</f>
        <v>65330564.829999998</v>
      </c>
      <c r="Z75" s="73">
        <f t="shared" si="76"/>
        <v>0</v>
      </c>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92">
        <f t="shared" si="75"/>
        <v>65330564.829999998</v>
      </c>
      <c r="W76" s="81">
        <f t="shared" si="75"/>
        <v>0</v>
      </c>
      <c r="X76" s="339"/>
      <c r="Y76" s="81">
        <f t="shared" si="76"/>
        <v>65330564.829999998</v>
      </c>
      <c r="Z76" s="81">
        <f t="shared" si="76"/>
        <v>0</v>
      </c>
    </row>
    <row r="77" spans="1:26"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6">
        <v>41824</v>
      </c>
      <c r="V77" s="277">
        <f>82800000-17469435.17</f>
        <v>65330564.829999998</v>
      </c>
      <c r="W77" s="277">
        <f>V77-Y77</f>
        <v>0</v>
      </c>
      <c r="X77" s="344" t="s">
        <v>113454</v>
      </c>
      <c r="Y77" s="366">
        <v>65330564.829999998</v>
      </c>
      <c r="Z77" s="278">
        <f>Y77-R77</f>
        <v>0</v>
      </c>
    </row>
    <row r="78" spans="1:26" x14ac:dyDescent="0.25">
      <c r="B78" s="309" t="s">
        <v>105516</v>
      </c>
      <c r="C78" s="309" t="s">
        <v>105573</v>
      </c>
      <c r="D78" s="309" t="s">
        <v>105573</v>
      </c>
      <c r="E78" s="309" t="s">
        <v>105520</v>
      </c>
      <c r="F78" s="309" t="s">
        <v>105541</v>
      </c>
      <c r="G78" s="309" t="s">
        <v>105544</v>
      </c>
      <c r="H78" s="68"/>
      <c r="I78" s="68"/>
      <c r="J78" s="68"/>
      <c r="K78" s="69"/>
      <c r="L78" s="69"/>
      <c r="M78" s="70" t="s">
        <v>106264</v>
      </c>
      <c r="N78" s="71"/>
      <c r="O78" s="71"/>
      <c r="P78" s="72"/>
      <c r="Q78" s="72"/>
      <c r="R78" s="73">
        <f>+R79</f>
        <v>4224500</v>
      </c>
      <c r="S78" s="74"/>
      <c r="T78" s="75"/>
      <c r="U78" s="71" t="s">
        <v>112994</v>
      </c>
      <c r="V78" s="391">
        <f t="shared" ref="V78:W78" si="77">+V79</f>
        <v>4224500</v>
      </c>
      <c r="W78" s="73">
        <f t="shared" si="77"/>
        <v>0</v>
      </c>
      <c r="X78" s="338"/>
      <c r="Y78" s="73">
        <f t="shared" ref="Y78:Z78" si="78">+Y79</f>
        <v>4224500</v>
      </c>
      <c r="Z78" s="73">
        <f t="shared" si="78"/>
        <v>0</v>
      </c>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92">
        <f t="shared" ref="V79:W79" si="79">SUM(V80:V80)</f>
        <v>4224500</v>
      </c>
      <c r="W79" s="81">
        <f t="shared" si="79"/>
        <v>0</v>
      </c>
      <c r="X79" s="339"/>
      <c r="Y79" s="81">
        <f t="shared" ref="Y79:Z79" si="80">SUM(Y80:Y80)</f>
        <v>4224500</v>
      </c>
      <c r="Z79" s="81">
        <f t="shared" si="80"/>
        <v>0</v>
      </c>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6">
        <v>3324</v>
      </c>
      <c r="V80" s="277">
        <f>6800000-2575500</f>
        <v>4224500</v>
      </c>
      <c r="W80" s="277">
        <f>V80-Y80</f>
        <v>0</v>
      </c>
      <c r="X80" s="344" t="s">
        <v>113367</v>
      </c>
      <c r="Y80" s="366">
        <v>4224500</v>
      </c>
      <c r="Z80" s="278">
        <f>Y80-R80</f>
        <v>0</v>
      </c>
    </row>
    <row r="81" spans="1:26" x14ac:dyDescent="0.25">
      <c r="B81" s="309" t="s">
        <v>105516</v>
      </c>
      <c r="C81" s="309" t="s">
        <v>105573</v>
      </c>
      <c r="D81" s="309" t="s">
        <v>105573</v>
      </c>
      <c r="E81" s="309" t="s">
        <v>105520</v>
      </c>
      <c r="F81" s="309" t="s">
        <v>105541</v>
      </c>
      <c r="G81" s="309" t="s">
        <v>105550</v>
      </c>
      <c r="H81" s="68"/>
      <c r="I81" s="68"/>
      <c r="J81" s="68"/>
      <c r="K81" s="69"/>
      <c r="L81" s="69"/>
      <c r="M81" s="70" t="s">
        <v>106284</v>
      </c>
      <c r="N81" s="71"/>
      <c r="O81" s="71"/>
      <c r="P81" s="72"/>
      <c r="Q81" s="72"/>
      <c r="R81" s="73">
        <f>+R82</f>
        <v>326000000</v>
      </c>
      <c r="S81" s="74"/>
      <c r="T81" s="75"/>
      <c r="U81" s="71" t="s">
        <v>112994</v>
      </c>
      <c r="V81" s="391">
        <f t="shared" ref="V81:W81" si="81">+V82</f>
        <v>257000000</v>
      </c>
      <c r="W81" s="73">
        <f t="shared" si="81"/>
        <v>110615486</v>
      </c>
      <c r="X81" s="338"/>
      <c r="Y81" s="73">
        <f t="shared" ref="Y81:Z81" si="82">+Y82</f>
        <v>146384514</v>
      </c>
      <c r="Z81" s="73">
        <f t="shared" si="82"/>
        <v>-179615486</v>
      </c>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92">
        <f t="shared" ref="V82:W82" si="83">SUM(V83:V88)</f>
        <v>257000000</v>
      </c>
      <c r="W82" s="81">
        <f t="shared" si="83"/>
        <v>110615486</v>
      </c>
      <c r="X82" s="339"/>
      <c r="Y82" s="81">
        <f t="shared" ref="Y82:Z82" si="84">SUM(Y83:Y88)</f>
        <v>146384514</v>
      </c>
      <c r="Z82" s="81">
        <f t="shared" si="84"/>
        <v>-179615486</v>
      </c>
    </row>
    <row r="83" spans="1:26" ht="30" x14ac:dyDescent="0.25">
      <c r="A83" s="297"/>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6">
        <v>43024</v>
      </c>
      <c r="V83" s="277">
        <v>18000000</v>
      </c>
      <c r="W83" s="277">
        <f>V83-Y83</f>
        <v>567690</v>
      </c>
      <c r="X83" s="344" t="s">
        <v>113368</v>
      </c>
      <c r="Y83" s="366">
        <v>17432310</v>
      </c>
      <c r="Z83" s="278">
        <f>Y83-R83</f>
        <v>-567690</v>
      </c>
    </row>
    <row r="84" spans="1:26" ht="45" x14ac:dyDescent="0.25">
      <c r="A84" s="297"/>
      <c r="B84" s="84"/>
      <c r="C84" s="85"/>
      <c r="D84" s="85"/>
      <c r="E84" s="85"/>
      <c r="F84" s="85"/>
      <c r="G84" s="85"/>
      <c r="H84" s="85"/>
      <c r="I84" s="85"/>
      <c r="J84" s="86"/>
      <c r="K84" s="86" t="s">
        <v>106736</v>
      </c>
      <c r="L84" s="87" t="s">
        <v>113232</v>
      </c>
      <c r="M84" s="88" t="s">
        <v>113233</v>
      </c>
      <c r="N84" s="89">
        <v>45516</v>
      </c>
      <c r="O84" s="89" t="s">
        <v>113074</v>
      </c>
      <c r="P84" s="90" t="s">
        <v>113043</v>
      </c>
      <c r="Q84" s="90" t="s">
        <v>112998</v>
      </c>
      <c r="R84" s="94">
        <v>35000000</v>
      </c>
      <c r="S84" s="92"/>
      <c r="T84" s="93" t="s">
        <v>113002</v>
      </c>
      <c r="U84" s="279"/>
      <c r="V84" s="277"/>
      <c r="W84" s="277">
        <f t="shared" ref="W84:W88" si="85">V84-Y84</f>
        <v>0</v>
      </c>
      <c r="X84" s="344"/>
      <c r="Y84" s="366"/>
      <c r="Z84" s="278">
        <f t="shared" ref="Z84:Z85" si="86">Y84-R84</f>
        <v>-35000000</v>
      </c>
    </row>
    <row r="85" spans="1:26" ht="60" customHeight="1" x14ac:dyDescent="0.25">
      <c r="B85" s="84"/>
      <c r="C85" s="85"/>
      <c r="D85" s="85"/>
      <c r="E85" s="85"/>
      <c r="F85" s="85"/>
      <c r="G85" s="85"/>
      <c r="H85" s="85"/>
      <c r="I85" s="85"/>
      <c r="J85" s="86"/>
      <c r="K85" s="86" t="s">
        <v>106736</v>
      </c>
      <c r="L85" s="51">
        <v>43231500</v>
      </c>
      <c r="M85" s="88" t="s">
        <v>113347</v>
      </c>
      <c r="N85" s="89">
        <v>45481</v>
      </c>
      <c r="O85" s="89" t="s">
        <v>113008</v>
      </c>
      <c r="P85" s="90" t="s">
        <v>112997</v>
      </c>
      <c r="Q85" s="90" t="s">
        <v>112998</v>
      </c>
      <c r="R85" s="409">
        <f>50000000+2575500+9450000+3000000+2611012.17+7800000+1799695+32763792.83</f>
        <v>110000000</v>
      </c>
      <c r="S85" s="116"/>
      <c r="T85" s="93" t="s">
        <v>113002</v>
      </c>
      <c r="U85" s="276">
        <v>68024</v>
      </c>
      <c r="V85" s="277">
        <v>110000000</v>
      </c>
      <c r="W85" s="277">
        <f t="shared" si="85"/>
        <v>110000000</v>
      </c>
      <c r="X85" s="344"/>
      <c r="Y85" s="366"/>
      <c r="Z85" s="278">
        <f t="shared" si="86"/>
        <v>-110000000</v>
      </c>
    </row>
    <row r="86" spans="1:26" ht="30" x14ac:dyDescent="0.25">
      <c r="B86" s="84"/>
      <c r="C86" s="85"/>
      <c r="D86" s="85"/>
      <c r="E86" s="85"/>
      <c r="F86" s="85"/>
      <c r="G86" s="85"/>
      <c r="H86" s="85"/>
      <c r="I86" s="85"/>
      <c r="J86" s="86"/>
      <c r="K86" s="86"/>
      <c r="L86" s="51">
        <v>43231500</v>
      </c>
      <c r="M86" s="88" t="s">
        <v>113282</v>
      </c>
      <c r="N86" s="89"/>
      <c r="O86" s="89"/>
      <c r="P86" s="90"/>
      <c r="Q86" s="90" t="s">
        <v>113096</v>
      </c>
      <c r="R86" s="91">
        <f>22000000-18000000</f>
        <v>4000000</v>
      </c>
      <c r="S86" s="116"/>
      <c r="T86" s="93"/>
      <c r="U86" s="279"/>
      <c r="V86" s="277"/>
      <c r="W86" s="277">
        <f t="shared" si="85"/>
        <v>0</v>
      </c>
      <c r="X86" s="344"/>
      <c r="Y86" s="366"/>
      <c r="Z86" s="278">
        <f>Y86-R86</f>
        <v>-4000000</v>
      </c>
    </row>
    <row r="87" spans="1:26" ht="30" x14ac:dyDescent="0.25">
      <c r="B87" s="84"/>
      <c r="C87" s="85"/>
      <c r="D87" s="85"/>
      <c r="E87" s="85"/>
      <c r="F87" s="85"/>
      <c r="G87" s="85"/>
      <c r="H87" s="85"/>
      <c r="I87" s="85"/>
      <c r="J87" s="86"/>
      <c r="K87" s="86" t="s">
        <v>106736</v>
      </c>
      <c r="L87" s="51">
        <v>43231500</v>
      </c>
      <c r="M87" s="88" t="s">
        <v>113234</v>
      </c>
      <c r="N87" s="89">
        <v>45390</v>
      </c>
      <c r="O87" s="89" t="s">
        <v>113082</v>
      </c>
      <c r="P87" s="90" t="s">
        <v>112997</v>
      </c>
      <c r="Q87" s="90" t="s">
        <v>113051</v>
      </c>
      <c r="R87" s="91">
        <f>130000000-2000000-29000000+30000000</f>
        <v>129000000</v>
      </c>
      <c r="S87" s="92"/>
      <c r="T87" s="93" t="s">
        <v>113002</v>
      </c>
      <c r="U87" s="276">
        <v>49524</v>
      </c>
      <c r="V87" s="277">
        <v>129000000</v>
      </c>
      <c r="W87" s="277">
        <f t="shared" si="85"/>
        <v>47796</v>
      </c>
      <c r="X87" s="344" t="s">
        <v>113369</v>
      </c>
      <c r="Y87" s="366">
        <v>128952204</v>
      </c>
      <c r="Z87" s="278">
        <f>Y87-R87</f>
        <v>-47796</v>
      </c>
    </row>
    <row r="88" spans="1:26" ht="30" x14ac:dyDescent="0.25">
      <c r="B88" s="84"/>
      <c r="C88" s="85"/>
      <c r="D88" s="85"/>
      <c r="E88" s="85"/>
      <c r="F88" s="85"/>
      <c r="G88" s="85"/>
      <c r="H88" s="85"/>
      <c r="I88" s="85"/>
      <c r="J88" s="86"/>
      <c r="K88" s="86" t="s">
        <v>106736</v>
      </c>
      <c r="L88" s="51">
        <v>43231500</v>
      </c>
      <c r="M88" s="88" t="s">
        <v>113348</v>
      </c>
      <c r="N88" s="89">
        <v>45474</v>
      </c>
      <c r="O88" s="89" t="s">
        <v>112996</v>
      </c>
      <c r="P88" s="90" t="s">
        <v>112997</v>
      </c>
      <c r="Q88" s="90" t="s">
        <v>113036</v>
      </c>
      <c r="R88" s="94">
        <v>30000000</v>
      </c>
      <c r="S88" s="92"/>
      <c r="T88" s="93" t="s">
        <v>113002</v>
      </c>
      <c r="U88" s="279"/>
      <c r="V88" s="277"/>
      <c r="W88" s="277">
        <f t="shared" si="85"/>
        <v>0</v>
      </c>
      <c r="X88" s="344"/>
      <c r="Y88" s="366"/>
      <c r="Z88" s="278">
        <f>Y88-R88</f>
        <v>-30000000</v>
      </c>
    </row>
    <row r="89" spans="1:26" ht="30" x14ac:dyDescent="0.25">
      <c r="B89" s="309" t="s">
        <v>105516</v>
      </c>
      <c r="C89" s="309" t="s">
        <v>105573</v>
      </c>
      <c r="D89" s="309" t="s">
        <v>105573</v>
      </c>
      <c r="E89" s="309" t="s">
        <v>105520</v>
      </c>
      <c r="F89" s="309" t="s">
        <v>105541</v>
      </c>
      <c r="G89" s="309" t="s">
        <v>105553</v>
      </c>
      <c r="H89" s="68"/>
      <c r="I89" s="68"/>
      <c r="J89" s="68"/>
      <c r="K89" s="69"/>
      <c r="L89" s="69"/>
      <c r="M89" s="70" t="s">
        <v>106300</v>
      </c>
      <c r="N89" s="71"/>
      <c r="O89" s="71"/>
      <c r="P89" s="72"/>
      <c r="Q89" s="72"/>
      <c r="R89" s="73">
        <f>+R90+R92</f>
        <v>10000000</v>
      </c>
      <c r="S89" s="74"/>
      <c r="T89" s="75"/>
      <c r="U89" s="71" t="s">
        <v>112994</v>
      </c>
      <c r="V89" s="391">
        <f t="shared" ref="V89:W89" si="87">+V90+V92</f>
        <v>10000000</v>
      </c>
      <c r="W89" s="73">
        <f t="shared" si="87"/>
        <v>5950</v>
      </c>
      <c r="X89" s="338"/>
      <c r="Y89" s="73">
        <f t="shared" ref="Y89:Z89" si="88">+Y90+Y92</f>
        <v>9994050</v>
      </c>
      <c r="Z89" s="73">
        <f t="shared" si="88"/>
        <v>-5950</v>
      </c>
    </row>
    <row r="90" spans="1:26"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92">
        <f t="shared" ref="V90:W90" si="89">+V91</f>
        <v>10000000</v>
      </c>
      <c r="W90" s="81">
        <f t="shared" si="89"/>
        <v>5950</v>
      </c>
      <c r="X90" s="339"/>
      <c r="Y90" s="81">
        <f t="shared" ref="Y90:Z90" si="90">+Y91</f>
        <v>9994050</v>
      </c>
      <c r="Z90" s="81">
        <f t="shared" si="90"/>
        <v>-5950</v>
      </c>
    </row>
    <row r="91" spans="1:26"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6">
        <v>59624</v>
      </c>
      <c r="V91" s="277">
        <v>10000000</v>
      </c>
      <c r="W91" s="277">
        <f>V91-Y91</f>
        <v>5950</v>
      </c>
      <c r="X91" s="344" t="s">
        <v>113503</v>
      </c>
      <c r="Y91" s="366">
        <v>9994050</v>
      </c>
      <c r="Z91" s="278">
        <f>Y91-R91</f>
        <v>-5950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92">
        <f t="shared" ref="V92:W92" si="91">+V93</f>
        <v>0</v>
      </c>
      <c r="W92" s="81">
        <f t="shared" si="91"/>
        <v>0</v>
      </c>
      <c r="X92" s="339"/>
      <c r="Y92" s="81">
        <f t="shared" ref="Y92:Z92" si="92">+Y93</f>
        <v>0</v>
      </c>
      <c r="Z92" s="81">
        <f t="shared" si="92"/>
        <v>0</v>
      </c>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9"/>
      <c r="V93" s="326"/>
      <c r="W93" s="277">
        <f>V93-Y93</f>
        <v>0</v>
      </c>
      <c r="X93" s="346"/>
      <c r="Y93" s="366"/>
      <c r="Z93" s="278">
        <f>Y93-R93</f>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89">
        <f t="shared" ref="V94:W94" si="93">+V95+V106+V112+V210+V225</f>
        <v>6170944534.6999998</v>
      </c>
      <c r="W94" s="55">
        <f t="shared" si="93"/>
        <v>380419822.5</v>
      </c>
      <c r="X94" s="347"/>
      <c r="Y94" s="55">
        <f t="shared" ref="Y94:Z94" si="94">+Y95+Y106+Y112+Y210+Y225</f>
        <v>5790524712.1999998</v>
      </c>
      <c r="Z94" s="55">
        <f t="shared" si="94"/>
        <v>-881436787.79999995</v>
      </c>
    </row>
    <row r="95" spans="1:26" ht="76.5" customHeight="1" x14ac:dyDescent="0.25">
      <c r="B95" s="59" t="s">
        <v>105516</v>
      </c>
      <c r="C95" s="59" t="s">
        <v>105573</v>
      </c>
      <c r="D95" s="59" t="s">
        <v>105573</v>
      </c>
      <c r="E95" s="59" t="s">
        <v>105573</v>
      </c>
      <c r="F95" s="59" t="s">
        <v>105547</v>
      </c>
      <c r="G95" s="59"/>
      <c r="H95" s="59"/>
      <c r="I95" s="59"/>
      <c r="J95" s="59"/>
      <c r="K95" s="60"/>
      <c r="L95" s="61"/>
      <c r="M95" s="62" t="s">
        <v>113312</v>
      </c>
      <c r="N95" s="63"/>
      <c r="O95" s="63"/>
      <c r="P95" s="64"/>
      <c r="Q95" s="64"/>
      <c r="R95" s="65">
        <f>+R96+R100+R103</f>
        <v>539700000</v>
      </c>
      <c r="S95" s="66"/>
      <c r="T95" s="67"/>
      <c r="U95" s="63" t="s">
        <v>112994</v>
      </c>
      <c r="V95" s="390">
        <f t="shared" ref="V95:W95" si="95">+V96+V100+V103</f>
        <v>412254775.37</v>
      </c>
      <c r="W95" s="65">
        <f t="shared" si="95"/>
        <v>0</v>
      </c>
      <c r="X95" s="337"/>
      <c r="Y95" s="65">
        <f t="shared" ref="Y95:Z95" si="96">+Y96+Y100+Y103</f>
        <v>412254775.37</v>
      </c>
      <c r="Z95" s="65">
        <f t="shared" si="96"/>
        <v>-127445224.63</v>
      </c>
    </row>
    <row r="96" spans="1:26" x14ac:dyDescent="0.25">
      <c r="B96" s="309" t="s">
        <v>105516</v>
      </c>
      <c r="C96" s="309" t="s">
        <v>105573</v>
      </c>
      <c r="D96" s="309" t="s">
        <v>105573</v>
      </c>
      <c r="E96" s="309" t="s">
        <v>105573</v>
      </c>
      <c r="F96" s="309" t="s">
        <v>105547</v>
      </c>
      <c r="G96" s="309" t="s">
        <v>105541</v>
      </c>
      <c r="H96" s="68"/>
      <c r="I96" s="68"/>
      <c r="J96" s="68"/>
      <c r="K96" s="69"/>
      <c r="L96" s="69"/>
      <c r="M96" s="70" t="s">
        <v>106829</v>
      </c>
      <c r="N96" s="71"/>
      <c r="O96" s="71"/>
      <c r="P96" s="72"/>
      <c r="Q96" s="72"/>
      <c r="R96" s="73">
        <f>SUM(R97:R99)</f>
        <v>51000000</v>
      </c>
      <c r="S96" s="74"/>
      <c r="T96" s="75"/>
      <c r="U96" s="71" t="s">
        <v>112994</v>
      </c>
      <c r="V96" s="391">
        <f t="shared" ref="V96:W96" si="97">SUM(V97:V99)</f>
        <v>44466606</v>
      </c>
      <c r="W96" s="73">
        <f t="shared" si="97"/>
        <v>0</v>
      </c>
      <c r="X96" s="338"/>
      <c r="Y96" s="73">
        <f t="shared" ref="Y96:Z96" si="98">SUM(Y97:Y99)</f>
        <v>44466606</v>
      </c>
      <c r="Z96" s="73">
        <f t="shared" si="98"/>
        <v>-6533394</v>
      </c>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80" t="s">
        <v>113339</v>
      </c>
      <c r="V97" s="277">
        <v>466606</v>
      </c>
      <c r="W97" s="277">
        <f t="shared" ref="W97:W99" si="99">V97-Y97</f>
        <v>0</v>
      </c>
      <c r="X97" s="344" t="s">
        <v>113370</v>
      </c>
      <c r="Y97" s="366">
        <v>466606</v>
      </c>
      <c r="Z97" s="278">
        <f t="shared" ref="Z97:Z99" si="100">Y97-R97</f>
        <v>-6533394</v>
      </c>
    </row>
    <row r="98" spans="2:26"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6">
        <v>12324</v>
      </c>
      <c r="V98" s="277">
        <v>40000000</v>
      </c>
      <c r="W98" s="277">
        <f t="shared" si="99"/>
        <v>0</v>
      </c>
      <c r="X98" s="344" t="s">
        <v>113437</v>
      </c>
      <c r="Y98" s="366">
        <v>40000000</v>
      </c>
      <c r="Z98" s="278">
        <f t="shared" si="100"/>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6">
        <v>12424</v>
      </c>
      <c r="V99" s="277">
        <f>15000000-11000000</f>
        <v>4000000</v>
      </c>
      <c r="W99" s="277">
        <f t="shared" si="99"/>
        <v>0</v>
      </c>
      <c r="X99" s="344" t="s">
        <v>113511</v>
      </c>
      <c r="Y99" s="366">
        <v>4000000</v>
      </c>
      <c r="Z99" s="278">
        <f t="shared" si="100"/>
        <v>0</v>
      </c>
    </row>
    <row r="100" spans="2:26" x14ac:dyDescent="0.25">
      <c r="B100" s="309" t="s">
        <v>105516</v>
      </c>
      <c r="C100" s="309" t="s">
        <v>105573</v>
      </c>
      <c r="D100" s="309" t="s">
        <v>105573</v>
      </c>
      <c r="E100" s="309" t="s">
        <v>105573</v>
      </c>
      <c r="F100" s="309" t="s">
        <v>105547</v>
      </c>
      <c r="G100" s="309" t="s">
        <v>105553</v>
      </c>
      <c r="H100" s="68"/>
      <c r="I100" s="68"/>
      <c r="J100" s="68"/>
      <c r="K100" s="69"/>
      <c r="L100" s="69"/>
      <c r="M100" s="70" t="s">
        <v>106857</v>
      </c>
      <c r="N100" s="71"/>
      <c r="O100" s="71"/>
      <c r="P100" s="72"/>
      <c r="Q100" s="72"/>
      <c r="R100" s="73">
        <f>SUM(R101:R102)</f>
        <v>12700000</v>
      </c>
      <c r="S100" s="74"/>
      <c r="T100" s="75"/>
      <c r="U100" s="71" t="s">
        <v>112994</v>
      </c>
      <c r="V100" s="391">
        <f t="shared" ref="V100:W100" si="101">SUM(V101:V102)</f>
        <v>11381626</v>
      </c>
      <c r="W100" s="73">
        <f t="shared" si="101"/>
        <v>0</v>
      </c>
      <c r="X100" s="338"/>
      <c r="Y100" s="73">
        <f t="shared" ref="Y100:Z100" si="102">SUM(Y101:Y102)</f>
        <v>11381626</v>
      </c>
      <c r="Z100" s="73">
        <f t="shared" si="102"/>
        <v>-1318374</v>
      </c>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6">
        <v>17924</v>
      </c>
      <c r="V101" s="277">
        <v>181626</v>
      </c>
      <c r="W101" s="277">
        <f t="shared" ref="W101:W102" si="103">V101-Y101</f>
        <v>0</v>
      </c>
      <c r="X101" s="344" t="s">
        <v>113370</v>
      </c>
      <c r="Y101" s="366">
        <v>181626</v>
      </c>
      <c r="Z101" s="278">
        <f t="shared" ref="Z101:Z102" si="104">Y101-R101</f>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113273</v>
      </c>
      <c r="R102" s="91">
        <v>11200000</v>
      </c>
      <c r="S102" s="92"/>
      <c r="T102" s="93" t="s">
        <v>113061</v>
      </c>
      <c r="U102" s="276">
        <v>42924</v>
      </c>
      <c r="V102" s="277">
        <v>11200000</v>
      </c>
      <c r="W102" s="277">
        <f t="shared" si="103"/>
        <v>0</v>
      </c>
      <c r="X102" s="344" t="s">
        <v>113371</v>
      </c>
      <c r="Y102" s="366">
        <v>11200000</v>
      </c>
      <c r="Z102" s="278">
        <f t="shared" si="104"/>
        <v>0</v>
      </c>
    </row>
    <row r="103" spans="2:26" ht="30" x14ac:dyDescent="0.25">
      <c r="B103" s="309" t="s">
        <v>105516</v>
      </c>
      <c r="C103" s="309" t="s">
        <v>105573</v>
      </c>
      <c r="D103" s="309" t="s">
        <v>105573</v>
      </c>
      <c r="E103" s="309" t="s">
        <v>105573</v>
      </c>
      <c r="F103" s="309" t="s">
        <v>105547</v>
      </c>
      <c r="G103" s="309" t="s">
        <v>105556</v>
      </c>
      <c r="H103" s="68"/>
      <c r="I103" s="68"/>
      <c r="J103" s="68"/>
      <c r="K103" s="69"/>
      <c r="L103" s="69"/>
      <c r="M103" s="70" t="s">
        <v>106859</v>
      </c>
      <c r="N103" s="71"/>
      <c r="O103" s="71"/>
      <c r="P103" s="72"/>
      <c r="Q103" s="72"/>
      <c r="R103" s="73">
        <f>SUM(R104)</f>
        <v>476000000</v>
      </c>
      <c r="S103" s="74"/>
      <c r="T103" s="75"/>
      <c r="U103" s="71" t="s">
        <v>112994</v>
      </c>
      <c r="V103" s="391">
        <f t="shared" ref="V103:W104" si="105">SUM(V104)</f>
        <v>356406543.37</v>
      </c>
      <c r="W103" s="73">
        <f t="shared" si="105"/>
        <v>0</v>
      </c>
      <c r="X103" s="338"/>
      <c r="Y103" s="73">
        <f t="shared" ref="Y103:Z104" si="106">SUM(Y104)</f>
        <v>356406543.37</v>
      </c>
      <c r="Z103" s="73">
        <f t="shared" si="106"/>
        <v>-119593456.63</v>
      </c>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92">
        <f t="shared" si="105"/>
        <v>356406543.37</v>
      </c>
      <c r="W104" s="81">
        <f t="shared" si="105"/>
        <v>0</v>
      </c>
      <c r="X104" s="339"/>
      <c r="Y104" s="81">
        <f t="shared" si="106"/>
        <v>356406543.37</v>
      </c>
      <c r="Z104" s="81">
        <f t="shared" si="106"/>
        <v>-119593456.63</v>
      </c>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6" t="s">
        <v>113293</v>
      </c>
      <c r="V105" s="360">
        <v>356406543.37</v>
      </c>
      <c r="W105" s="277">
        <f>V105-Y105</f>
        <v>0</v>
      </c>
      <c r="X105" s="344" t="s">
        <v>113372</v>
      </c>
      <c r="Y105" s="360">
        <v>356406543.37</v>
      </c>
      <c r="Z105" s="278">
        <f>Y105-R105</f>
        <v>-119593456.63</v>
      </c>
    </row>
    <row r="106" spans="2:26" ht="30" x14ac:dyDescent="0.25">
      <c r="B106" s="59" t="s">
        <v>105516</v>
      </c>
      <c r="C106" s="59" t="s">
        <v>105573</v>
      </c>
      <c r="D106" s="59" t="s">
        <v>105573</v>
      </c>
      <c r="E106" s="59" t="s">
        <v>105573</v>
      </c>
      <c r="F106" s="59" t="s">
        <v>105550</v>
      </c>
      <c r="G106" s="59"/>
      <c r="H106" s="59"/>
      <c r="I106" s="59"/>
      <c r="J106" s="59"/>
      <c r="K106" s="60"/>
      <c r="L106" s="61"/>
      <c r="M106" s="62" t="s">
        <v>113313</v>
      </c>
      <c r="N106" s="63"/>
      <c r="O106" s="63"/>
      <c r="P106" s="64"/>
      <c r="Q106" s="64"/>
      <c r="R106" s="65">
        <f>+R107</f>
        <v>3273000000</v>
      </c>
      <c r="S106" s="66"/>
      <c r="T106" s="67"/>
      <c r="U106" s="63" t="s">
        <v>112994</v>
      </c>
      <c r="V106" s="390">
        <f t="shared" ref="V106:W109" si="107">+V107</f>
        <v>3272580967</v>
      </c>
      <c r="W106" s="65">
        <f t="shared" si="107"/>
        <v>0</v>
      </c>
      <c r="X106" s="337"/>
      <c r="Y106" s="65">
        <f t="shared" ref="Y106:Z109" si="108">+Y107</f>
        <v>3272580967</v>
      </c>
      <c r="Z106" s="65">
        <f t="shared" si="108"/>
        <v>-419033</v>
      </c>
    </row>
    <row r="107" spans="2:26" x14ac:dyDescent="0.25">
      <c r="B107" s="309" t="s">
        <v>105516</v>
      </c>
      <c r="C107" s="309" t="s">
        <v>105573</v>
      </c>
      <c r="D107" s="309" t="s">
        <v>105573</v>
      </c>
      <c r="E107" s="309" t="s">
        <v>105573</v>
      </c>
      <c r="F107" s="309" t="s">
        <v>105550</v>
      </c>
      <c r="G107" s="309" t="s">
        <v>105528</v>
      </c>
      <c r="H107" s="68"/>
      <c r="I107" s="68"/>
      <c r="J107" s="68"/>
      <c r="K107" s="69"/>
      <c r="L107" s="69"/>
      <c r="M107" s="70" t="s">
        <v>106867</v>
      </c>
      <c r="N107" s="71"/>
      <c r="O107" s="71"/>
      <c r="P107" s="72"/>
      <c r="Q107" s="72"/>
      <c r="R107" s="73">
        <f>+R108</f>
        <v>3273000000</v>
      </c>
      <c r="S107" s="74"/>
      <c r="T107" s="75"/>
      <c r="U107" s="71" t="s">
        <v>112994</v>
      </c>
      <c r="V107" s="391">
        <f t="shared" si="107"/>
        <v>3272580967</v>
      </c>
      <c r="W107" s="73">
        <f t="shared" si="107"/>
        <v>0</v>
      </c>
      <c r="X107" s="338"/>
      <c r="Y107" s="73">
        <f t="shared" si="108"/>
        <v>3272580967</v>
      </c>
      <c r="Z107" s="73">
        <f t="shared" si="108"/>
        <v>-419033</v>
      </c>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113321</v>
      </c>
      <c r="N108" s="79"/>
      <c r="O108" s="79"/>
      <c r="P108" s="80"/>
      <c r="Q108" s="80"/>
      <c r="R108" s="81">
        <f>+R109</f>
        <v>3273000000</v>
      </c>
      <c r="S108" s="82"/>
      <c r="T108" s="96"/>
      <c r="U108" s="79"/>
      <c r="V108" s="392">
        <f t="shared" si="107"/>
        <v>3272580967</v>
      </c>
      <c r="W108" s="81">
        <f t="shared" si="107"/>
        <v>0</v>
      </c>
      <c r="X108" s="339"/>
      <c r="Y108" s="81">
        <f t="shared" si="108"/>
        <v>3272580967</v>
      </c>
      <c r="Z108" s="81">
        <f t="shared" si="108"/>
        <v>-419033</v>
      </c>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92">
        <f t="shared" si="107"/>
        <v>3272580967</v>
      </c>
      <c r="W109" s="81">
        <f t="shared" si="107"/>
        <v>0</v>
      </c>
      <c r="X109" s="339"/>
      <c r="Y109" s="81">
        <f t="shared" si="108"/>
        <v>3272580967</v>
      </c>
      <c r="Z109" s="81">
        <f t="shared" si="108"/>
        <v>-419033</v>
      </c>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92">
        <f t="shared" ref="V110:W110" si="109">SUM(V111:V111)</f>
        <v>3272580967</v>
      </c>
      <c r="W110" s="81">
        <f t="shared" si="109"/>
        <v>0</v>
      </c>
      <c r="X110" s="339"/>
      <c r="Y110" s="81">
        <f t="shared" ref="Y110:Z110" si="110">SUM(Y111:Y111)</f>
        <v>3272580967</v>
      </c>
      <c r="Z110" s="81">
        <f t="shared" si="110"/>
        <v>-419033</v>
      </c>
    </row>
    <row r="111" spans="2:26" ht="30" x14ac:dyDescent="0.25">
      <c r="B111" s="84"/>
      <c r="C111" s="85"/>
      <c r="D111" s="85"/>
      <c r="E111" s="85"/>
      <c r="F111" s="85"/>
      <c r="G111" s="85"/>
      <c r="H111" s="85"/>
      <c r="I111" s="85"/>
      <c r="J111" s="86"/>
      <c r="K111" s="85" t="s">
        <v>106866</v>
      </c>
      <c r="L111" s="313" t="s">
        <v>113064</v>
      </c>
      <c r="M111" s="120" t="s">
        <v>106900</v>
      </c>
      <c r="N111" s="114">
        <v>45293</v>
      </c>
      <c r="O111" s="89" t="s">
        <v>113057</v>
      </c>
      <c r="P111" s="121" t="s">
        <v>113065</v>
      </c>
      <c r="Q111" s="121" t="s">
        <v>113066</v>
      </c>
      <c r="R111" s="91">
        <v>3273000000</v>
      </c>
      <c r="S111" s="91"/>
      <c r="T111" s="93" t="s">
        <v>112999</v>
      </c>
      <c r="U111" s="276">
        <v>124</v>
      </c>
      <c r="V111" s="277">
        <v>3272580967</v>
      </c>
      <c r="W111" s="277">
        <f>V111-Y111</f>
        <v>0</v>
      </c>
      <c r="X111" s="344" t="s">
        <v>107801</v>
      </c>
      <c r="Y111" s="366">
        <v>3272580967</v>
      </c>
      <c r="Z111" s="278">
        <f>Y111-R111</f>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90">
        <f t="shared" ref="V112:W112" si="111">+V113+V121+V180+V188+V194</f>
        <v>2142733938.3299999</v>
      </c>
      <c r="W112" s="65">
        <f t="shared" si="111"/>
        <v>279641240.5</v>
      </c>
      <c r="X112" s="337"/>
      <c r="Y112" s="65">
        <f t="shared" ref="Y112:Z112" si="112">+Y113+Y121+Y180+Y188+Y194</f>
        <v>1863092697.8299999</v>
      </c>
      <c r="Z112" s="65">
        <f t="shared" si="112"/>
        <v>-510882802.16999996</v>
      </c>
    </row>
    <row r="113" spans="2:26" x14ac:dyDescent="0.25">
      <c r="B113" s="309" t="s">
        <v>105516</v>
      </c>
      <c r="C113" s="309" t="s">
        <v>105573</v>
      </c>
      <c r="D113" s="309" t="s">
        <v>105573</v>
      </c>
      <c r="E113" s="309" t="s">
        <v>105573</v>
      </c>
      <c r="F113" s="309" t="s">
        <v>105553</v>
      </c>
      <c r="G113" s="309" t="s">
        <v>105535</v>
      </c>
      <c r="H113" s="68"/>
      <c r="I113" s="68"/>
      <c r="J113" s="68"/>
      <c r="K113" s="69"/>
      <c r="L113" s="69"/>
      <c r="M113" s="70" t="s">
        <v>106988</v>
      </c>
      <c r="N113" s="71"/>
      <c r="O113" s="71"/>
      <c r="P113" s="72"/>
      <c r="Q113" s="72"/>
      <c r="R113" s="73">
        <f>+R114</f>
        <v>178200000</v>
      </c>
      <c r="S113" s="74"/>
      <c r="T113" s="75"/>
      <c r="U113" s="71" t="s">
        <v>112994</v>
      </c>
      <c r="V113" s="391">
        <f t="shared" ref="V113:W113" si="113">+V114</f>
        <v>178200000</v>
      </c>
      <c r="W113" s="73">
        <f t="shared" si="113"/>
        <v>4300000</v>
      </c>
      <c r="X113" s="338"/>
      <c r="Y113" s="73">
        <f t="shared" ref="Y113:Z113" si="114">+Y114</f>
        <v>173900000</v>
      </c>
      <c r="Z113" s="73">
        <f t="shared" si="114"/>
        <v>-4300000</v>
      </c>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92">
        <f t="shared" ref="V114:W114" si="115">SUM(V115:V120,)</f>
        <v>178200000</v>
      </c>
      <c r="W114" s="81">
        <f t="shared" si="115"/>
        <v>4300000</v>
      </c>
      <c r="X114" s="339"/>
      <c r="Y114" s="81">
        <f t="shared" ref="Y114:Z114" si="116">SUM(Y115:Y120,)</f>
        <v>173900000</v>
      </c>
      <c r="Z114" s="81">
        <f t="shared" si="116"/>
        <v>-4300000</v>
      </c>
    </row>
    <row r="115" spans="2:26" ht="123.75" customHeight="1" x14ac:dyDescent="0.25">
      <c r="B115" s="84"/>
      <c r="C115" s="85"/>
      <c r="D115" s="85"/>
      <c r="E115" s="85"/>
      <c r="F115" s="85"/>
      <c r="G115" s="85"/>
      <c r="H115" s="85"/>
      <c r="I115" s="85"/>
      <c r="J115" s="86"/>
      <c r="K115" s="86" t="s">
        <v>106987</v>
      </c>
      <c r="L115" s="87" t="s">
        <v>113272</v>
      </c>
      <c r="M115" s="88" t="s">
        <v>113070</v>
      </c>
      <c r="N115" s="89">
        <v>45301</v>
      </c>
      <c r="O115" s="89" t="s">
        <v>113164</v>
      </c>
      <c r="P115" s="90" t="s">
        <v>113009</v>
      </c>
      <c r="Q115" s="90" t="s">
        <v>113068</v>
      </c>
      <c r="R115" s="91">
        <f>62700000/2-9450000</f>
        <v>21900000</v>
      </c>
      <c r="S115" s="92"/>
      <c r="T115" s="88" t="s">
        <v>113071</v>
      </c>
      <c r="U115" s="276">
        <v>4124</v>
      </c>
      <c r="V115" s="277">
        <v>21900000</v>
      </c>
      <c r="W115" s="277">
        <f t="shared" ref="W115:W120" si="117">V115-Y115</f>
        <v>0</v>
      </c>
      <c r="X115" s="344" t="s">
        <v>113373</v>
      </c>
      <c r="Y115" s="366">
        <v>21900000</v>
      </c>
      <c r="Z115" s="278">
        <f t="shared" ref="Z115:Z120" si="118">Y115-R115</f>
        <v>0</v>
      </c>
    </row>
    <row r="116" spans="2:26" ht="123.75" customHeight="1" x14ac:dyDescent="0.25">
      <c r="B116" s="84"/>
      <c r="C116" s="85"/>
      <c r="D116" s="85"/>
      <c r="E116" s="85"/>
      <c r="F116" s="85"/>
      <c r="G116" s="85"/>
      <c r="H116" s="85"/>
      <c r="I116" s="85"/>
      <c r="J116" s="86"/>
      <c r="K116" s="86" t="s">
        <v>106987</v>
      </c>
      <c r="L116" s="87" t="s">
        <v>113272</v>
      </c>
      <c r="M116" s="88" t="s">
        <v>113070</v>
      </c>
      <c r="N116" s="89">
        <v>45475</v>
      </c>
      <c r="O116" s="89" t="s">
        <v>112996</v>
      </c>
      <c r="P116" s="90" t="s">
        <v>113133</v>
      </c>
      <c r="Q116" s="90" t="s">
        <v>113068</v>
      </c>
      <c r="R116" s="91">
        <v>32300000</v>
      </c>
      <c r="S116" s="92"/>
      <c r="T116" s="88" t="s">
        <v>113071</v>
      </c>
      <c r="U116" s="276">
        <v>63524</v>
      </c>
      <c r="V116" s="277">
        <v>32300000</v>
      </c>
      <c r="W116" s="277">
        <f t="shared" si="117"/>
        <v>3800000</v>
      </c>
      <c r="X116" s="344" t="s">
        <v>113360</v>
      </c>
      <c r="Y116" s="366">
        <v>28500000</v>
      </c>
      <c r="Z116" s="278">
        <f t="shared" si="118"/>
        <v>-3800000</v>
      </c>
    </row>
    <row r="117" spans="2:26" ht="68.25" customHeight="1" x14ac:dyDescent="0.25">
      <c r="B117" s="84"/>
      <c r="C117" s="85"/>
      <c r="D117" s="85"/>
      <c r="E117" s="85"/>
      <c r="F117" s="85"/>
      <c r="G117" s="85"/>
      <c r="H117" s="85"/>
      <c r="I117" s="85"/>
      <c r="J117" s="86"/>
      <c r="K117" s="86" t="s">
        <v>106987</v>
      </c>
      <c r="L117" s="87" t="s">
        <v>113272</v>
      </c>
      <c r="M117" s="88" t="s">
        <v>113267</v>
      </c>
      <c r="N117" s="89">
        <v>45300</v>
      </c>
      <c r="O117" s="89" t="s">
        <v>113242</v>
      </c>
      <c r="P117" s="90" t="s">
        <v>113170</v>
      </c>
      <c r="Q117" s="90" t="s">
        <v>113051</v>
      </c>
      <c r="R117" s="91">
        <f>62700000/2</f>
        <v>31350000</v>
      </c>
      <c r="S117" s="92"/>
      <c r="T117" s="93" t="s">
        <v>113069</v>
      </c>
      <c r="U117" s="276">
        <v>4024</v>
      </c>
      <c r="V117" s="277">
        <v>31350000</v>
      </c>
      <c r="W117" s="277">
        <f t="shared" si="117"/>
        <v>0</v>
      </c>
      <c r="X117" s="344" t="s">
        <v>113374</v>
      </c>
      <c r="Y117" s="366">
        <v>31350000</v>
      </c>
      <c r="Z117" s="278">
        <f t="shared" si="118"/>
        <v>0</v>
      </c>
    </row>
    <row r="118" spans="2:26" ht="68.25" customHeight="1" x14ac:dyDescent="0.25">
      <c r="B118" s="84"/>
      <c r="C118" s="85"/>
      <c r="D118" s="85"/>
      <c r="E118" s="85"/>
      <c r="F118" s="85"/>
      <c r="G118" s="85"/>
      <c r="H118" s="85"/>
      <c r="I118" s="85"/>
      <c r="J118" s="86"/>
      <c r="K118" s="86" t="s">
        <v>106987</v>
      </c>
      <c r="L118" s="87" t="s">
        <v>113272</v>
      </c>
      <c r="M118" s="88" t="s">
        <v>113267</v>
      </c>
      <c r="N118" s="89">
        <v>45475</v>
      </c>
      <c r="O118" s="89" t="s">
        <v>112996</v>
      </c>
      <c r="P118" s="90" t="s">
        <v>113133</v>
      </c>
      <c r="Q118" s="90" t="s">
        <v>113068</v>
      </c>
      <c r="R118" s="91">
        <v>32300000</v>
      </c>
      <c r="S118" s="92"/>
      <c r="T118" s="93" t="s">
        <v>113069</v>
      </c>
      <c r="U118" s="276">
        <v>59524</v>
      </c>
      <c r="V118" s="277">
        <v>32300000</v>
      </c>
      <c r="W118" s="277">
        <f t="shared" si="117"/>
        <v>0</v>
      </c>
      <c r="X118" s="344" t="s">
        <v>113375</v>
      </c>
      <c r="Y118" s="366">
        <v>32300000</v>
      </c>
      <c r="Z118" s="278">
        <f t="shared" si="118"/>
        <v>0</v>
      </c>
    </row>
    <row r="119" spans="2:26" ht="123.75" customHeight="1" x14ac:dyDescent="0.25">
      <c r="B119" s="84"/>
      <c r="C119" s="85"/>
      <c r="D119" s="85"/>
      <c r="E119" s="85"/>
      <c r="F119" s="85"/>
      <c r="G119" s="85"/>
      <c r="H119" s="85"/>
      <c r="I119" s="85"/>
      <c r="J119" s="86"/>
      <c r="K119" s="86" t="s">
        <v>106987</v>
      </c>
      <c r="L119" s="87" t="s">
        <v>113272</v>
      </c>
      <c r="M119" s="88" t="s">
        <v>113268</v>
      </c>
      <c r="N119" s="89">
        <v>45300</v>
      </c>
      <c r="O119" s="89" t="s">
        <v>113242</v>
      </c>
      <c r="P119" s="90" t="s">
        <v>113269</v>
      </c>
      <c r="Q119" s="90" t="s">
        <v>113051</v>
      </c>
      <c r="R119" s="91">
        <f>31500000-150000</f>
        <v>31350000</v>
      </c>
      <c r="S119" s="92"/>
      <c r="T119" s="93" t="s">
        <v>113069</v>
      </c>
      <c r="U119" s="276">
        <v>4624</v>
      </c>
      <c r="V119" s="277">
        <v>31350000</v>
      </c>
      <c r="W119" s="277">
        <f t="shared" si="117"/>
        <v>0</v>
      </c>
      <c r="X119" s="344" t="s">
        <v>113460</v>
      </c>
      <c r="Y119" s="366">
        <v>31350000</v>
      </c>
      <c r="Z119" s="278">
        <f t="shared" si="118"/>
        <v>0</v>
      </c>
    </row>
    <row r="120" spans="2:26" ht="123.75" customHeight="1" x14ac:dyDescent="0.25">
      <c r="B120" s="84"/>
      <c r="C120" s="85"/>
      <c r="D120" s="85"/>
      <c r="E120" s="85"/>
      <c r="F120" s="85"/>
      <c r="G120" s="85"/>
      <c r="H120" s="85"/>
      <c r="I120" s="85"/>
      <c r="J120" s="86"/>
      <c r="K120" s="86" t="s">
        <v>106987</v>
      </c>
      <c r="L120" s="87" t="s">
        <v>113272</v>
      </c>
      <c r="M120" s="88" t="s">
        <v>113288</v>
      </c>
      <c r="N120" s="89">
        <v>45475</v>
      </c>
      <c r="O120" s="89" t="s">
        <v>112996</v>
      </c>
      <c r="P120" s="90" t="s">
        <v>113133</v>
      </c>
      <c r="Q120" s="90" t="s">
        <v>113051</v>
      </c>
      <c r="R120" s="94">
        <v>29000000</v>
      </c>
      <c r="S120" s="92"/>
      <c r="T120" s="93" t="s">
        <v>113069</v>
      </c>
      <c r="U120" s="276">
        <v>60624</v>
      </c>
      <c r="V120" s="277">
        <v>29000000</v>
      </c>
      <c r="W120" s="277">
        <f t="shared" si="117"/>
        <v>500000</v>
      </c>
      <c r="X120" s="344" t="s">
        <v>113376</v>
      </c>
      <c r="Y120" s="366">
        <v>28500000</v>
      </c>
      <c r="Z120" s="278">
        <f t="shared" si="118"/>
        <v>-500000</v>
      </c>
    </row>
    <row r="121" spans="2:26" ht="54" customHeight="1" x14ac:dyDescent="0.25">
      <c r="B121" s="309" t="s">
        <v>105516</v>
      </c>
      <c r="C121" s="309" t="s">
        <v>105573</v>
      </c>
      <c r="D121" s="309" t="s">
        <v>105573</v>
      </c>
      <c r="E121" s="309" t="s">
        <v>105573</v>
      </c>
      <c r="F121" s="309" t="s">
        <v>105553</v>
      </c>
      <c r="G121" s="309" t="s">
        <v>105538</v>
      </c>
      <c r="H121" s="68"/>
      <c r="I121" s="68"/>
      <c r="J121" s="68"/>
      <c r="K121" s="69"/>
      <c r="L121" s="69"/>
      <c r="M121" s="70" t="s">
        <v>113314</v>
      </c>
      <c r="N121" s="71"/>
      <c r="O121" s="71"/>
      <c r="P121" s="72"/>
      <c r="Q121" s="72"/>
      <c r="R121" s="73">
        <f>+R122</f>
        <v>1880793872</v>
      </c>
      <c r="S121" s="74"/>
      <c r="T121" s="122"/>
      <c r="U121" s="71" t="s">
        <v>112994</v>
      </c>
      <c r="V121" s="391">
        <f t="shared" ref="V121:W121" si="119">+V122</f>
        <v>1687747833.3299999</v>
      </c>
      <c r="W121" s="73">
        <f t="shared" si="119"/>
        <v>128179612.5</v>
      </c>
      <c r="X121" s="338"/>
      <c r="Y121" s="73">
        <f t="shared" ref="Y121:Z121" si="120">+Y122</f>
        <v>1559568220.8299999</v>
      </c>
      <c r="Z121" s="73">
        <f t="shared" si="120"/>
        <v>-321225651.17000002</v>
      </c>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92">
        <f t="shared" ref="V122:W122" si="121">+V123+V169+V171</f>
        <v>1687747833.3299999</v>
      </c>
      <c r="W122" s="81">
        <f t="shared" si="121"/>
        <v>128179612.5</v>
      </c>
      <c r="X122" s="339"/>
      <c r="Y122" s="81">
        <f t="shared" ref="Y122:Z122" si="122">+Y123+Y169+Y171</f>
        <v>1559568220.8299999</v>
      </c>
      <c r="Z122" s="81">
        <f t="shared" si="122"/>
        <v>-321225651.17000002</v>
      </c>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92">
        <f t="shared" ref="V123:W123" si="123">SUM(V124:V168)</f>
        <v>1587338833.3299999</v>
      </c>
      <c r="W123" s="81">
        <f t="shared" si="123"/>
        <v>115083947.17</v>
      </c>
      <c r="X123" s="339"/>
      <c r="Y123" s="81">
        <f t="shared" ref="Y123:Z123" si="124">SUM(Y124:Y168)</f>
        <v>1472254886.1599998</v>
      </c>
      <c r="Z123" s="81">
        <f t="shared" si="124"/>
        <v>-296143319.84000003</v>
      </c>
    </row>
    <row r="124" spans="2:26"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9"/>
      <c r="V124" s="277"/>
      <c r="W124" s="277">
        <f t="shared" ref="W124:W168" si="125">V124-Y124</f>
        <v>0</v>
      </c>
      <c r="X124" s="344"/>
      <c r="Y124" s="366"/>
      <c r="Z124" s="278">
        <f>Y124-R124</f>
        <v>0</v>
      </c>
    </row>
    <row r="125" spans="2:26" ht="68.25" customHeight="1" x14ac:dyDescent="0.25">
      <c r="B125" s="84"/>
      <c r="C125" s="85"/>
      <c r="D125" s="85"/>
      <c r="E125" s="85"/>
      <c r="F125" s="85"/>
      <c r="G125" s="85"/>
      <c r="H125" s="85"/>
      <c r="I125" s="85"/>
      <c r="J125" s="86"/>
      <c r="K125" s="86" t="s">
        <v>106997</v>
      </c>
      <c r="L125" s="51">
        <v>81101500</v>
      </c>
      <c r="M125" s="97" t="s">
        <v>113270</v>
      </c>
      <c r="N125" s="89">
        <v>45322</v>
      </c>
      <c r="O125" s="89" t="s">
        <v>113035</v>
      </c>
      <c r="P125" s="90" t="s">
        <v>113020</v>
      </c>
      <c r="Q125" s="90" t="s">
        <v>113177</v>
      </c>
      <c r="R125" s="91">
        <f>(25909000+150000)-22000000</f>
        <v>4059000</v>
      </c>
      <c r="S125" s="98"/>
      <c r="T125" s="95" t="s">
        <v>113076</v>
      </c>
      <c r="U125" s="279"/>
      <c r="V125" s="277"/>
      <c r="W125" s="277">
        <f t="shared" si="125"/>
        <v>0</v>
      </c>
      <c r="X125" s="344"/>
      <c r="Y125" s="366"/>
      <c r="Z125" s="278">
        <f>Y125-R125</f>
        <v>-4059000</v>
      </c>
    </row>
    <row r="126" spans="2:26" ht="141.75" customHeight="1" x14ac:dyDescent="0.25">
      <c r="B126" s="84"/>
      <c r="C126" s="85"/>
      <c r="D126" s="85"/>
      <c r="E126" s="85"/>
      <c r="F126" s="85"/>
      <c r="G126" s="85"/>
      <c r="H126" s="85"/>
      <c r="I126" s="85"/>
      <c r="J126" s="86"/>
      <c r="K126" s="86" t="s">
        <v>106997</v>
      </c>
      <c r="L126" s="51">
        <v>80101500</v>
      </c>
      <c r="M126" s="97" t="s">
        <v>113331</v>
      </c>
      <c r="N126" s="89">
        <v>45460</v>
      </c>
      <c r="O126" s="89" t="s">
        <v>113167</v>
      </c>
      <c r="P126" s="90" t="s">
        <v>113001</v>
      </c>
      <c r="Q126" s="90" t="s">
        <v>113068</v>
      </c>
      <c r="R126" s="91">
        <f>62700000/2+6650000</f>
        <v>38000000</v>
      </c>
      <c r="S126" s="92"/>
      <c r="T126" s="95" t="s">
        <v>113010</v>
      </c>
      <c r="U126" s="276">
        <v>30324</v>
      </c>
      <c r="V126" s="277">
        <f>31350000+2850000</f>
        <v>34200000</v>
      </c>
      <c r="W126" s="277">
        <f t="shared" si="125"/>
        <v>0</v>
      </c>
      <c r="X126" s="344" t="s">
        <v>113404</v>
      </c>
      <c r="Y126" s="366">
        <v>34200000</v>
      </c>
      <c r="Z126" s="278">
        <f>Y126-R126</f>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6">
        <v>92624</v>
      </c>
      <c r="V127" s="277">
        <v>23000000</v>
      </c>
      <c r="W127" s="277">
        <f t="shared" ref="W127" si="126">V127-Y127</f>
        <v>23000000</v>
      </c>
      <c r="X127" s="344"/>
      <c r="Y127" s="366"/>
      <c r="Z127" s="278">
        <f>Y127-R127</f>
        <v>-23000000</v>
      </c>
    </row>
    <row r="128" spans="2:26"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6">
        <v>3424</v>
      </c>
      <c r="V128" s="277">
        <f>40000000-2611012.17</f>
        <v>37388987.829999998</v>
      </c>
      <c r="W128" s="277">
        <f t="shared" si="125"/>
        <v>0</v>
      </c>
      <c r="X128" s="344" t="s">
        <v>113397</v>
      </c>
      <c r="Y128" s="366">
        <v>37388987.829999998</v>
      </c>
      <c r="Z128" s="278">
        <f>Y128-R128</f>
        <v>0</v>
      </c>
    </row>
    <row r="129" spans="2:26"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6">
        <v>3924</v>
      </c>
      <c r="V129" s="277">
        <v>100000000</v>
      </c>
      <c r="W129" s="277">
        <f t="shared" si="125"/>
        <v>0</v>
      </c>
      <c r="X129" s="344" t="s">
        <v>113405</v>
      </c>
      <c r="Y129" s="366">
        <v>100000000</v>
      </c>
      <c r="Z129" s="278">
        <f t="shared" ref="Z129" si="127">Y129-R129</f>
        <v>0</v>
      </c>
    </row>
    <row r="130" spans="2:26"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6">
        <v>3524</v>
      </c>
      <c r="V130" s="277">
        <f>22500000-1300000</f>
        <v>21200000</v>
      </c>
      <c r="W130" s="277">
        <f t="shared" si="125"/>
        <v>700000</v>
      </c>
      <c r="X130" s="344" t="s">
        <v>113389</v>
      </c>
      <c r="Y130" s="366">
        <v>20500000</v>
      </c>
      <c r="Z130" s="278">
        <f t="shared" ref="Z130:Z168" si="128">Y130-R130</f>
        <v>-750000</v>
      </c>
    </row>
    <row r="131" spans="2:26" ht="60" x14ac:dyDescent="0.25">
      <c r="B131" s="84"/>
      <c r="C131" s="85"/>
      <c r="D131" s="85"/>
      <c r="E131" s="85"/>
      <c r="F131" s="85"/>
      <c r="G131" s="85"/>
      <c r="H131" s="85"/>
      <c r="I131" s="85"/>
      <c r="J131" s="86"/>
      <c r="K131" s="86" t="s">
        <v>106997</v>
      </c>
      <c r="L131" s="51">
        <v>81111500</v>
      </c>
      <c r="M131" s="97" t="s">
        <v>113345</v>
      </c>
      <c r="N131" s="89">
        <v>45506</v>
      </c>
      <c r="O131" s="89" t="s">
        <v>113008</v>
      </c>
      <c r="P131" s="90" t="s">
        <v>113302</v>
      </c>
      <c r="Q131" s="90" t="s">
        <v>113051</v>
      </c>
      <c r="R131" s="91">
        <f>19200000+1300000</f>
        <v>20500000</v>
      </c>
      <c r="S131" s="92"/>
      <c r="T131" s="88" t="s">
        <v>113002</v>
      </c>
      <c r="U131" s="276">
        <v>58324</v>
      </c>
      <c r="V131" s="322">
        <v>20090000</v>
      </c>
      <c r="W131" s="277">
        <f t="shared" si="125"/>
        <v>0</v>
      </c>
      <c r="X131" s="348" t="s">
        <v>113462</v>
      </c>
      <c r="Y131" s="366">
        <v>20090000</v>
      </c>
      <c r="Z131" s="278">
        <f t="shared" si="128"/>
        <v>-410000</v>
      </c>
    </row>
    <row r="132" spans="2:26" ht="45" x14ac:dyDescent="0.25">
      <c r="B132" s="84"/>
      <c r="C132" s="85"/>
      <c r="D132" s="85"/>
      <c r="E132" s="85"/>
      <c r="F132" s="85"/>
      <c r="G132" s="85"/>
      <c r="H132" s="85"/>
      <c r="I132" s="85"/>
      <c r="J132" s="86"/>
      <c r="K132" s="86" t="s">
        <v>106997</v>
      </c>
      <c r="L132" s="51">
        <v>81111500</v>
      </c>
      <c r="M132" s="97" t="s">
        <v>113235</v>
      </c>
      <c r="N132" s="89">
        <v>45300</v>
      </c>
      <c r="O132" s="89" t="s">
        <v>113035</v>
      </c>
      <c r="P132" s="90" t="s">
        <v>113009</v>
      </c>
      <c r="Q132" s="90" t="s">
        <v>113051</v>
      </c>
      <c r="R132" s="91">
        <f>66000000/2-3000000</f>
        <v>30000000</v>
      </c>
      <c r="S132" s="92"/>
      <c r="T132" s="88" t="s">
        <v>113002</v>
      </c>
      <c r="U132" s="276">
        <v>28824</v>
      </c>
      <c r="V132" s="277">
        <f>33000000-3000000</f>
        <v>30000000</v>
      </c>
      <c r="W132" s="277">
        <f t="shared" si="125"/>
        <v>0</v>
      </c>
      <c r="X132" s="344" t="s">
        <v>113390</v>
      </c>
      <c r="Y132" s="366">
        <v>30000000</v>
      </c>
      <c r="Z132" s="278">
        <f t="shared" si="128"/>
        <v>0</v>
      </c>
    </row>
    <row r="133" spans="2:26" ht="75" x14ac:dyDescent="0.25">
      <c r="B133" s="84"/>
      <c r="C133" s="85"/>
      <c r="D133" s="85"/>
      <c r="E133" s="85"/>
      <c r="F133" s="85"/>
      <c r="G133" s="85"/>
      <c r="H133" s="85"/>
      <c r="I133" s="85"/>
      <c r="J133" s="86"/>
      <c r="K133" s="86" t="s">
        <v>106997</v>
      </c>
      <c r="L133" s="51">
        <v>81111500</v>
      </c>
      <c r="M133" s="97" t="s">
        <v>113470</v>
      </c>
      <c r="N133" s="89">
        <v>45550</v>
      </c>
      <c r="O133" s="89" t="s">
        <v>113074</v>
      </c>
      <c r="P133" s="90" t="s">
        <v>112997</v>
      </c>
      <c r="Q133" s="90" t="s">
        <v>113051</v>
      </c>
      <c r="R133" s="91">
        <f>21000000+3500000</f>
        <v>24500000</v>
      </c>
      <c r="S133" s="92"/>
      <c r="T133" s="88" t="s">
        <v>113002</v>
      </c>
      <c r="U133" s="276">
        <v>92724</v>
      </c>
      <c r="V133" s="277">
        <v>24500000</v>
      </c>
      <c r="W133" s="277">
        <f t="shared" si="125"/>
        <v>24500000</v>
      </c>
      <c r="X133" s="344"/>
      <c r="Y133" s="366"/>
      <c r="Z133" s="278">
        <f t="shared" si="128"/>
        <v>-24500000</v>
      </c>
    </row>
    <row r="134" spans="2:26" ht="45" x14ac:dyDescent="0.25">
      <c r="B134" s="84"/>
      <c r="C134" s="85"/>
      <c r="D134" s="85"/>
      <c r="E134" s="85"/>
      <c r="F134" s="85"/>
      <c r="G134" s="85"/>
      <c r="H134" s="85"/>
      <c r="I134" s="85"/>
      <c r="J134" s="86"/>
      <c r="K134" s="86" t="s">
        <v>106997</v>
      </c>
      <c r="L134" s="51">
        <v>81111500</v>
      </c>
      <c r="M134" s="97" t="s">
        <v>113236</v>
      </c>
      <c r="N134" s="89">
        <v>45300</v>
      </c>
      <c r="O134" s="89" t="s">
        <v>113035</v>
      </c>
      <c r="P134" s="90" t="s">
        <v>113009</v>
      </c>
      <c r="Q134" s="90" t="s">
        <v>113051</v>
      </c>
      <c r="R134" s="91">
        <f>88000000/2-4000000</f>
        <v>40000000</v>
      </c>
      <c r="S134" s="92"/>
      <c r="T134" s="88" t="s">
        <v>113002</v>
      </c>
      <c r="U134" s="276">
        <v>3624</v>
      </c>
      <c r="V134" s="277">
        <v>40000000</v>
      </c>
      <c r="W134" s="277">
        <f t="shared" si="125"/>
        <v>0</v>
      </c>
      <c r="X134" s="344" t="s">
        <v>113383</v>
      </c>
      <c r="Y134" s="366">
        <v>40000000</v>
      </c>
      <c r="Z134" s="278">
        <f t="shared" si="128"/>
        <v>0</v>
      </c>
    </row>
    <row r="135" spans="2:26" ht="102" customHeight="1" x14ac:dyDescent="0.25">
      <c r="B135" s="84"/>
      <c r="C135" s="85"/>
      <c r="D135" s="85"/>
      <c r="E135" s="85"/>
      <c r="F135" s="85"/>
      <c r="G135" s="85"/>
      <c r="H135" s="85"/>
      <c r="I135" s="85"/>
      <c r="J135" s="86"/>
      <c r="K135" s="86" t="s">
        <v>106997</v>
      </c>
      <c r="L135" s="51">
        <v>81111500</v>
      </c>
      <c r="M135" s="97" t="s">
        <v>113336</v>
      </c>
      <c r="N135" s="89">
        <v>45475</v>
      </c>
      <c r="O135" s="89" t="s">
        <v>112996</v>
      </c>
      <c r="P135" s="90" t="s">
        <v>113303</v>
      </c>
      <c r="Q135" s="90" t="s">
        <v>113051</v>
      </c>
      <c r="R135" s="91">
        <f>45400000+4000000</f>
        <v>49400000</v>
      </c>
      <c r="S135" s="92"/>
      <c r="T135" s="88" t="s">
        <v>113002</v>
      </c>
      <c r="U135" s="276">
        <v>58324</v>
      </c>
      <c r="V135" s="322">
        <v>47200000</v>
      </c>
      <c r="W135" s="277">
        <f t="shared" si="125"/>
        <v>0</v>
      </c>
      <c r="X135" s="348" t="s">
        <v>113361</v>
      </c>
      <c r="Y135" s="366">
        <v>47200000</v>
      </c>
      <c r="Z135" s="278">
        <f t="shared" si="128"/>
        <v>-2200000</v>
      </c>
    </row>
    <row r="136" spans="2:26" ht="45" x14ac:dyDescent="0.25">
      <c r="B136" s="84"/>
      <c r="C136" s="85"/>
      <c r="D136" s="85"/>
      <c r="E136" s="85"/>
      <c r="F136" s="85"/>
      <c r="G136" s="85"/>
      <c r="H136" s="85"/>
      <c r="I136" s="85"/>
      <c r="J136" s="86"/>
      <c r="K136" s="86" t="s">
        <v>106997</v>
      </c>
      <c r="L136" s="51">
        <v>81111500</v>
      </c>
      <c r="M136" s="97" t="s">
        <v>113237</v>
      </c>
      <c r="N136" s="89">
        <v>45300</v>
      </c>
      <c r="O136" s="89" t="s">
        <v>113035</v>
      </c>
      <c r="P136" s="90" t="s">
        <v>113009</v>
      </c>
      <c r="Q136" s="90" t="s">
        <v>113051</v>
      </c>
      <c r="R136" s="91">
        <f>82500000/2+12000000</f>
        <v>53250000</v>
      </c>
      <c r="S136" s="92"/>
      <c r="T136" s="88" t="s">
        <v>113002</v>
      </c>
      <c r="U136" s="276">
        <v>35024</v>
      </c>
      <c r="V136" s="277">
        <v>41250000</v>
      </c>
      <c r="W136" s="277">
        <f t="shared" si="125"/>
        <v>5250000</v>
      </c>
      <c r="X136" s="344" t="s">
        <v>113393</v>
      </c>
      <c r="Y136" s="366">
        <v>36000000</v>
      </c>
      <c r="Z136" s="278">
        <f t="shared" si="128"/>
        <v>-17250000</v>
      </c>
    </row>
    <row r="137" spans="2:26" ht="67.5" customHeight="1" x14ac:dyDescent="0.25">
      <c r="B137" s="84"/>
      <c r="C137" s="85"/>
      <c r="D137" s="85"/>
      <c r="E137" s="85"/>
      <c r="F137" s="85"/>
      <c r="G137" s="85"/>
      <c r="H137" s="85"/>
      <c r="I137" s="85"/>
      <c r="J137" s="86"/>
      <c r="K137" s="86" t="s">
        <v>106997</v>
      </c>
      <c r="L137" s="51">
        <v>81111500</v>
      </c>
      <c r="M137" s="97" t="s">
        <v>113340</v>
      </c>
      <c r="N137" s="89">
        <v>45458</v>
      </c>
      <c r="O137" s="89" t="s">
        <v>112996</v>
      </c>
      <c r="P137" s="90" t="s">
        <v>113001</v>
      </c>
      <c r="Q137" s="90" t="s">
        <v>113051</v>
      </c>
      <c r="R137" s="94">
        <f>45000000-3500000</f>
        <v>41500000</v>
      </c>
      <c r="S137" s="92"/>
      <c r="T137" s="88" t="s">
        <v>113002</v>
      </c>
      <c r="U137" s="276">
        <v>58324</v>
      </c>
      <c r="V137" s="322">
        <v>37500000</v>
      </c>
      <c r="W137" s="277">
        <f t="shared" si="125"/>
        <v>0</v>
      </c>
      <c r="X137" s="348" t="s">
        <v>113455</v>
      </c>
      <c r="Y137" s="366">
        <v>37500000</v>
      </c>
      <c r="Z137" s="278">
        <f t="shared" si="128"/>
        <v>-4000000</v>
      </c>
    </row>
    <row r="138" spans="2:26" ht="45" x14ac:dyDescent="0.25">
      <c r="B138" s="84"/>
      <c r="C138" s="85"/>
      <c r="D138" s="85"/>
      <c r="E138" s="85"/>
      <c r="F138" s="85"/>
      <c r="G138" s="85"/>
      <c r="H138" s="85"/>
      <c r="I138" s="85"/>
      <c r="J138" s="86"/>
      <c r="K138" s="86" t="s">
        <v>106997</v>
      </c>
      <c r="L138" s="51">
        <v>81111500</v>
      </c>
      <c r="M138" s="97" t="s">
        <v>113238</v>
      </c>
      <c r="N138" s="89">
        <v>45458</v>
      </c>
      <c r="O138" s="89" t="s">
        <v>112996</v>
      </c>
      <c r="P138" s="90" t="s">
        <v>113001</v>
      </c>
      <c r="Q138" s="90" t="s">
        <v>113051</v>
      </c>
      <c r="R138" s="94">
        <v>45000000</v>
      </c>
      <c r="S138" s="92"/>
      <c r="T138" s="88" t="s">
        <v>113002</v>
      </c>
      <c r="U138" s="276">
        <v>58324</v>
      </c>
      <c r="V138" s="322">
        <f>45000000+220000-32000000+4800000+10610000</f>
        <v>28630000</v>
      </c>
      <c r="W138" s="277">
        <f t="shared" si="125"/>
        <v>28630000</v>
      </c>
      <c r="X138" s="348"/>
      <c r="Y138" s="366"/>
      <c r="Z138" s="278">
        <f t="shared" si="128"/>
        <v>-45000000</v>
      </c>
    </row>
    <row r="139" spans="2:26" ht="45" x14ac:dyDescent="0.25">
      <c r="B139" s="84"/>
      <c r="C139" s="85"/>
      <c r="D139" s="85"/>
      <c r="E139" s="85"/>
      <c r="F139" s="85"/>
      <c r="G139" s="85"/>
      <c r="H139" s="85"/>
      <c r="I139" s="85"/>
      <c r="J139" s="86"/>
      <c r="K139" s="86" t="s">
        <v>106997</v>
      </c>
      <c r="L139" s="51">
        <v>81111500</v>
      </c>
      <c r="M139" s="97" t="s">
        <v>113238</v>
      </c>
      <c r="N139" s="89">
        <v>45474</v>
      </c>
      <c r="O139" s="89" t="s">
        <v>112996</v>
      </c>
      <c r="P139" s="90" t="s">
        <v>113005</v>
      </c>
      <c r="Q139" s="90" t="s">
        <v>113051</v>
      </c>
      <c r="R139" s="94">
        <v>30000000</v>
      </c>
      <c r="S139" s="92"/>
      <c r="T139" s="88" t="s">
        <v>113002</v>
      </c>
      <c r="U139" s="279"/>
      <c r="V139" s="277"/>
      <c r="W139" s="277">
        <f t="shared" si="125"/>
        <v>0</v>
      </c>
      <c r="X139" s="344"/>
      <c r="Y139" s="366"/>
      <c r="Z139" s="278">
        <f t="shared" si="128"/>
        <v>-30000000</v>
      </c>
    </row>
    <row r="140" spans="2:26" ht="45" x14ac:dyDescent="0.25">
      <c r="B140" s="84"/>
      <c r="C140" s="85"/>
      <c r="D140" s="85"/>
      <c r="E140" s="85"/>
      <c r="F140" s="85"/>
      <c r="G140" s="85"/>
      <c r="H140" s="85"/>
      <c r="I140" s="85"/>
      <c r="J140" s="86"/>
      <c r="K140" s="86" t="s">
        <v>106997</v>
      </c>
      <c r="L140" s="51">
        <v>81111500</v>
      </c>
      <c r="M140" s="97" t="s">
        <v>113238</v>
      </c>
      <c r="N140" s="89">
        <v>45474</v>
      </c>
      <c r="O140" s="89" t="s">
        <v>112996</v>
      </c>
      <c r="P140" s="90" t="s">
        <v>113005</v>
      </c>
      <c r="Q140" s="90" t="s">
        <v>113051</v>
      </c>
      <c r="R140" s="94">
        <v>30000000</v>
      </c>
      <c r="S140" s="92"/>
      <c r="T140" s="88" t="s">
        <v>113002</v>
      </c>
      <c r="U140" s="279"/>
      <c r="V140" s="277"/>
      <c r="W140" s="277">
        <f t="shared" si="125"/>
        <v>0</v>
      </c>
      <c r="X140" s="344"/>
      <c r="Y140" s="366"/>
      <c r="Z140" s="278">
        <f t="shared" si="128"/>
        <v>-30000000</v>
      </c>
    </row>
    <row r="141" spans="2:26" ht="78" customHeight="1" x14ac:dyDescent="0.25">
      <c r="B141" s="84"/>
      <c r="C141" s="85"/>
      <c r="D141" s="85"/>
      <c r="E141" s="85"/>
      <c r="F141" s="85"/>
      <c r="G141" s="85"/>
      <c r="H141" s="85"/>
      <c r="I141" s="85"/>
      <c r="J141" s="86"/>
      <c r="K141" s="86"/>
      <c r="L141" s="51">
        <v>81111500</v>
      </c>
      <c r="M141" s="97" t="s">
        <v>113349</v>
      </c>
      <c r="N141" s="89">
        <v>45458</v>
      </c>
      <c r="O141" s="89" t="s">
        <v>112996</v>
      </c>
      <c r="P141" s="90" t="s">
        <v>113001</v>
      </c>
      <c r="Q141" s="90" t="s">
        <v>113051</v>
      </c>
      <c r="R141" s="94">
        <f>48000000-4800000</f>
        <v>43200000</v>
      </c>
      <c r="S141" s="92"/>
      <c r="T141" s="88" t="s">
        <v>113002</v>
      </c>
      <c r="U141" s="276">
        <v>58324</v>
      </c>
      <c r="V141" s="322">
        <v>40000000</v>
      </c>
      <c r="W141" s="277">
        <f t="shared" si="125"/>
        <v>0</v>
      </c>
      <c r="X141" s="348" t="s">
        <v>113456</v>
      </c>
      <c r="Y141" s="366">
        <v>40000000</v>
      </c>
      <c r="Z141" s="278">
        <f t="shared" si="128"/>
        <v>-3200000</v>
      </c>
    </row>
    <row r="142" spans="2:26" ht="30" x14ac:dyDescent="0.25">
      <c r="B142" s="84"/>
      <c r="C142" s="85"/>
      <c r="D142" s="85"/>
      <c r="E142" s="85"/>
      <c r="F142" s="85"/>
      <c r="G142" s="85"/>
      <c r="H142" s="85"/>
      <c r="I142" s="85"/>
      <c r="J142" s="86"/>
      <c r="K142" s="86"/>
      <c r="L142" s="51">
        <v>81111500</v>
      </c>
      <c r="M142" s="97" t="s">
        <v>113287</v>
      </c>
      <c r="N142" s="89">
        <v>45458</v>
      </c>
      <c r="O142" s="89" t="s">
        <v>112996</v>
      </c>
      <c r="P142" s="90" t="s">
        <v>113001</v>
      </c>
      <c r="Q142" s="90" t="s">
        <v>113051</v>
      </c>
      <c r="R142" s="94">
        <f>48000000-32763792.83</f>
        <v>15236207.170000002</v>
      </c>
      <c r="S142" s="92"/>
      <c r="T142" s="88" t="s">
        <v>113002</v>
      </c>
      <c r="U142" s="276">
        <v>58324</v>
      </c>
      <c r="V142" s="322">
        <f>48000000-32763792.83</f>
        <v>15236207.170000002</v>
      </c>
      <c r="W142" s="277">
        <f t="shared" si="125"/>
        <v>15236207.170000002</v>
      </c>
      <c r="X142" s="348"/>
      <c r="Y142" s="366"/>
      <c r="Z142" s="278">
        <f t="shared" si="128"/>
        <v>-15236207.170000002</v>
      </c>
    </row>
    <row r="143" spans="2:26" ht="60" x14ac:dyDescent="0.25">
      <c r="B143" s="84"/>
      <c r="C143" s="85"/>
      <c r="D143" s="85"/>
      <c r="E143" s="85"/>
      <c r="F143" s="85"/>
      <c r="G143" s="85"/>
      <c r="H143" s="85"/>
      <c r="I143" s="85"/>
      <c r="J143" s="86"/>
      <c r="K143" s="86"/>
      <c r="L143" s="51">
        <v>81111500</v>
      </c>
      <c r="M143" s="97" t="s">
        <v>113469</v>
      </c>
      <c r="N143" s="89">
        <v>45536</v>
      </c>
      <c r="O143" s="89" t="s">
        <v>113074</v>
      </c>
      <c r="P143" s="90" t="s">
        <v>113005</v>
      </c>
      <c r="Q143" s="90" t="s">
        <v>113051</v>
      </c>
      <c r="R143" s="94">
        <v>32000000</v>
      </c>
      <c r="S143" s="92"/>
      <c r="T143" s="88" t="s">
        <v>113002</v>
      </c>
      <c r="U143" s="276">
        <v>58324</v>
      </c>
      <c r="V143" s="322">
        <v>31200000</v>
      </c>
      <c r="W143" s="277">
        <f t="shared" si="125"/>
        <v>0</v>
      </c>
      <c r="X143" s="344" t="s">
        <v>113489</v>
      </c>
      <c r="Y143" s="366">
        <v>31200000</v>
      </c>
      <c r="Z143" s="278">
        <f t="shared" si="128"/>
        <v>-800000</v>
      </c>
    </row>
    <row r="144" spans="2:26" ht="30" x14ac:dyDescent="0.25">
      <c r="B144" s="84"/>
      <c r="C144" s="85"/>
      <c r="D144" s="85"/>
      <c r="E144" s="85"/>
      <c r="F144" s="85"/>
      <c r="G144" s="85"/>
      <c r="H144" s="85"/>
      <c r="I144" s="85"/>
      <c r="J144" s="86"/>
      <c r="K144" s="86"/>
      <c r="L144" s="51">
        <v>81111500</v>
      </c>
      <c r="M144" s="97" t="s">
        <v>113287</v>
      </c>
      <c r="N144" s="89">
        <v>45474</v>
      </c>
      <c r="O144" s="89" t="s">
        <v>112996</v>
      </c>
      <c r="P144" s="90" t="s">
        <v>113005</v>
      </c>
      <c r="Q144" s="90" t="s">
        <v>113051</v>
      </c>
      <c r="R144" s="94">
        <v>32000000</v>
      </c>
      <c r="S144" s="92"/>
      <c r="T144" s="88" t="s">
        <v>113002</v>
      </c>
      <c r="U144" s="279"/>
      <c r="V144" s="277"/>
      <c r="W144" s="277">
        <f t="shared" si="125"/>
        <v>0</v>
      </c>
      <c r="X144" s="344"/>
      <c r="Y144" s="366"/>
      <c r="Z144" s="278">
        <f t="shared" si="128"/>
        <v>-32000000</v>
      </c>
    </row>
    <row r="145" spans="2:27" ht="30" x14ac:dyDescent="0.25">
      <c r="B145" s="84"/>
      <c r="C145" s="85"/>
      <c r="D145" s="85"/>
      <c r="E145" s="85"/>
      <c r="F145" s="85"/>
      <c r="G145" s="85"/>
      <c r="H145" s="85"/>
      <c r="I145" s="85"/>
      <c r="J145" s="86"/>
      <c r="K145" s="86" t="s">
        <v>106997</v>
      </c>
      <c r="L145" s="51">
        <v>80101600</v>
      </c>
      <c r="M145" s="97" t="s">
        <v>113286</v>
      </c>
      <c r="N145" s="89">
        <v>45458</v>
      </c>
      <c r="O145" s="89" t="s">
        <v>112996</v>
      </c>
      <c r="P145" s="90" t="s">
        <v>113001</v>
      </c>
      <c r="Q145" s="90" t="s">
        <v>113051</v>
      </c>
      <c r="R145" s="94">
        <f>42000000-7800000</f>
        <v>34200000</v>
      </c>
      <c r="S145" s="92"/>
      <c r="T145" s="88" t="s">
        <v>113002</v>
      </c>
      <c r="U145" s="276">
        <v>58324</v>
      </c>
      <c r="V145" s="322">
        <f>42000000-7800000</f>
        <v>34200000</v>
      </c>
      <c r="W145" s="277">
        <f t="shared" si="125"/>
        <v>0</v>
      </c>
      <c r="X145" s="348" t="s">
        <v>113403</v>
      </c>
      <c r="Y145" s="366">
        <v>34200000</v>
      </c>
      <c r="Z145" s="278">
        <f t="shared" si="128"/>
        <v>0</v>
      </c>
      <c r="AA145" s="298"/>
    </row>
    <row r="146" spans="2:27" ht="30" x14ac:dyDescent="0.25">
      <c r="B146" s="84"/>
      <c r="C146" s="85"/>
      <c r="D146" s="85"/>
      <c r="E146" s="85"/>
      <c r="F146" s="85"/>
      <c r="G146" s="85"/>
      <c r="H146" s="85"/>
      <c r="I146" s="85"/>
      <c r="J146" s="86"/>
      <c r="K146" s="86"/>
      <c r="L146" s="51">
        <v>81111500</v>
      </c>
      <c r="M146" s="97" t="s">
        <v>113286</v>
      </c>
      <c r="N146" s="89">
        <v>45474</v>
      </c>
      <c r="O146" s="89" t="s">
        <v>112996</v>
      </c>
      <c r="P146" s="90" t="s">
        <v>113005</v>
      </c>
      <c r="Q146" s="90" t="s">
        <v>113051</v>
      </c>
      <c r="R146" s="94">
        <v>30000000</v>
      </c>
      <c r="S146" s="92"/>
      <c r="T146" s="88" t="s">
        <v>113002</v>
      </c>
      <c r="U146" s="279"/>
      <c r="V146" s="277"/>
      <c r="W146" s="277">
        <f t="shared" si="125"/>
        <v>0</v>
      </c>
      <c r="X146" s="344"/>
      <c r="Y146" s="366"/>
      <c r="Z146" s="278">
        <f t="shared" si="128"/>
        <v>-30000000</v>
      </c>
    </row>
    <row r="147" spans="2:27"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6">
        <v>3724</v>
      </c>
      <c r="V147" s="277">
        <f>31350000-2850000</f>
        <v>28500000</v>
      </c>
      <c r="W147" s="277">
        <f t="shared" si="125"/>
        <v>0</v>
      </c>
      <c r="X147" s="344" t="s">
        <v>113381</v>
      </c>
      <c r="Y147" s="366">
        <v>28500000</v>
      </c>
      <c r="Z147" s="278">
        <f t="shared" si="128"/>
        <v>0</v>
      </c>
    </row>
    <row r="148" spans="2:27" ht="96.75" customHeight="1" x14ac:dyDescent="0.25">
      <c r="B148" s="84"/>
      <c r="C148" s="85"/>
      <c r="D148" s="85"/>
      <c r="E148" s="85"/>
      <c r="F148" s="85"/>
      <c r="G148" s="85"/>
      <c r="H148" s="85"/>
      <c r="I148" s="85"/>
      <c r="J148" s="86"/>
      <c r="K148" s="86" t="s">
        <v>106997</v>
      </c>
      <c r="L148" s="51">
        <v>81111500</v>
      </c>
      <c r="M148" s="97" t="s">
        <v>113337</v>
      </c>
      <c r="N148" s="89">
        <v>45475</v>
      </c>
      <c r="O148" s="89" t="s">
        <v>112996</v>
      </c>
      <c r="P148" s="90" t="s">
        <v>113304</v>
      </c>
      <c r="Q148" s="90" t="s">
        <v>113051</v>
      </c>
      <c r="R148" s="91">
        <f>32300000+2850000</f>
        <v>35150000</v>
      </c>
      <c r="S148" s="92"/>
      <c r="T148" s="88" t="s">
        <v>113002</v>
      </c>
      <c r="U148" s="276">
        <v>58324</v>
      </c>
      <c r="V148" s="322">
        <v>33630000</v>
      </c>
      <c r="W148" s="277">
        <f t="shared" si="125"/>
        <v>0</v>
      </c>
      <c r="X148" s="348" t="s">
        <v>113398</v>
      </c>
      <c r="Y148" s="366">
        <v>33630000</v>
      </c>
      <c r="Z148" s="278">
        <f t="shared" si="128"/>
        <v>-1520000</v>
      </c>
    </row>
    <row r="149" spans="2:27"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6">
        <v>6524</v>
      </c>
      <c r="V149" s="277">
        <f>14000000-1799695</f>
        <v>12200305</v>
      </c>
      <c r="W149" s="277">
        <f t="shared" si="125"/>
        <v>0</v>
      </c>
      <c r="X149" s="344" t="s">
        <v>113388</v>
      </c>
      <c r="Y149" s="366">
        <v>12200305</v>
      </c>
      <c r="Z149" s="278">
        <f t="shared" si="128"/>
        <v>0</v>
      </c>
    </row>
    <row r="150" spans="2:27" ht="57.75" customHeight="1" x14ac:dyDescent="0.25">
      <c r="B150" s="84"/>
      <c r="C150" s="85"/>
      <c r="D150" s="85"/>
      <c r="E150" s="85"/>
      <c r="F150" s="85"/>
      <c r="G150" s="85"/>
      <c r="H150" s="85"/>
      <c r="I150" s="85"/>
      <c r="J150" s="86"/>
      <c r="K150" s="86" t="s">
        <v>106997</v>
      </c>
      <c r="L150" s="51">
        <v>81112200</v>
      </c>
      <c r="M150" s="97" t="s">
        <v>113341</v>
      </c>
      <c r="N150" s="89">
        <v>45460</v>
      </c>
      <c r="O150" s="89" t="s">
        <v>112996</v>
      </c>
      <c r="P150" s="90" t="s">
        <v>112997</v>
      </c>
      <c r="Q150" s="90" t="s">
        <v>113051</v>
      </c>
      <c r="R150" s="91">
        <f>92000000-24000000-9600000-30000000+113800000</f>
        <v>142200000</v>
      </c>
      <c r="S150" s="92"/>
      <c r="T150" s="88" t="s">
        <v>113002</v>
      </c>
      <c r="U150" s="276">
        <v>61824</v>
      </c>
      <c r="V150" s="277">
        <v>142200000</v>
      </c>
      <c r="W150" s="277">
        <f t="shared" si="125"/>
        <v>2271470</v>
      </c>
      <c r="X150" s="344" t="s">
        <v>113457</v>
      </c>
      <c r="Y150" s="366">
        <v>139928530</v>
      </c>
      <c r="Z150" s="278">
        <f t="shared" si="128"/>
        <v>-2271470</v>
      </c>
    </row>
    <row r="151" spans="2:27" ht="45" x14ac:dyDescent="0.25">
      <c r="B151" s="84"/>
      <c r="C151" s="85"/>
      <c r="D151" s="85"/>
      <c r="E151" s="85"/>
      <c r="F151" s="85"/>
      <c r="G151" s="85"/>
      <c r="H151" s="85"/>
      <c r="I151" s="85"/>
      <c r="J151" s="86"/>
      <c r="K151" s="86"/>
      <c r="L151" s="51">
        <v>84111503</v>
      </c>
      <c r="M151" s="97" t="s">
        <v>113290</v>
      </c>
      <c r="N151" s="89">
        <v>45474</v>
      </c>
      <c r="O151" s="89" t="s">
        <v>112996</v>
      </c>
      <c r="P151" s="90" t="s">
        <v>113133</v>
      </c>
      <c r="Q151" s="90" t="s">
        <v>113087</v>
      </c>
      <c r="R151" s="91">
        <f>200000000-65749628-130000000</f>
        <v>4250372</v>
      </c>
      <c r="S151" s="295"/>
      <c r="T151" s="88" t="s">
        <v>113138</v>
      </c>
      <c r="U151" s="279"/>
      <c r="V151" s="277"/>
      <c r="W151" s="277">
        <f t="shared" si="125"/>
        <v>0</v>
      </c>
      <c r="X151" s="344"/>
      <c r="Y151" s="366"/>
      <c r="Z151" s="278">
        <f t="shared" si="128"/>
        <v>-4250372</v>
      </c>
    </row>
    <row r="152" spans="2:27" ht="75" x14ac:dyDescent="0.25">
      <c r="B152" s="84"/>
      <c r="C152" s="85"/>
      <c r="D152" s="85"/>
      <c r="E152" s="85"/>
      <c r="F152" s="85"/>
      <c r="G152" s="85"/>
      <c r="H152" s="85"/>
      <c r="I152" s="85"/>
      <c r="J152" s="86"/>
      <c r="K152" s="86" t="s">
        <v>106997</v>
      </c>
      <c r="L152" s="87" t="s">
        <v>113291</v>
      </c>
      <c r="M152" s="97" t="s">
        <v>113086</v>
      </c>
      <c r="N152" s="89">
        <v>45308</v>
      </c>
      <c r="O152" s="89" t="s">
        <v>113004</v>
      </c>
      <c r="P152" s="90" t="s">
        <v>113001</v>
      </c>
      <c r="Q152" s="90" t="s">
        <v>113087</v>
      </c>
      <c r="R152" s="91">
        <f>290000000-30000000</f>
        <v>260000000</v>
      </c>
      <c r="S152" s="92"/>
      <c r="T152" s="88" t="s">
        <v>113002</v>
      </c>
      <c r="U152" s="276">
        <v>3824</v>
      </c>
      <c r="V152" s="277">
        <v>260000000</v>
      </c>
      <c r="W152" s="277">
        <f t="shared" si="125"/>
        <v>112330</v>
      </c>
      <c r="X152" s="344" t="s">
        <v>113391</v>
      </c>
      <c r="Y152" s="366">
        <v>259887670</v>
      </c>
      <c r="Z152" s="278">
        <f t="shared" si="128"/>
        <v>-112330</v>
      </c>
    </row>
    <row r="153" spans="2:27" ht="30" x14ac:dyDescent="0.25">
      <c r="B153" s="124"/>
      <c r="C153" s="125"/>
      <c r="D153" s="125"/>
      <c r="E153" s="125"/>
      <c r="F153" s="125"/>
      <c r="G153" s="125"/>
      <c r="H153" s="125"/>
      <c r="I153" s="125"/>
      <c r="J153" s="126"/>
      <c r="K153" s="126" t="s">
        <v>106997</v>
      </c>
      <c r="L153" s="51">
        <v>81111800</v>
      </c>
      <c r="M153" s="88" t="s">
        <v>113239</v>
      </c>
      <c r="N153" s="89">
        <v>45308</v>
      </c>
      <c r="O153" s="89" t="s">
        <v>113035</v>
      </c>
      <c r="P153" s="90" t="s">
        <v>112997</v>
      </c>
      <c r="Q153" s="90" t="s">
        <v>113051</v>
      </c>
      <c r="R153" s="91">
        <f>65000000+30000000</f>
        <v>95000000</v>
      </c>
      <c r="S153" s="92"/>
      <c r="T153" s="88" t="s">
        <v>113002</v>
      </c>
      <c r="U153" s="276">
        <v>33324</v>
      </c>
      <c r="V153" s="277">
        <v>95000000</v>
      </c>
      <c r="W153" s="277">
        <f t="shared" si="125"/>
        <v>383940</v>
      </c>
      <c r="X153" s="344" t="s">
        <v>113392</v>
      </c>
      <c r="Y153" s="366">
        <v>94616060</v>
      </c>
      <c r="Z153" s="278">
        <f t="shared" si="128"/>
        <v>-383940</v>
      </c>
    </row>
    <row r="154" spans="2:27" ht="120" x14ac:dyDescent="0.25">
      <c r="B154" s="124"/>
      <c r="C154" s="125"/>
      <c r="D154" s="125"/>
      <c r="E154" s="125"/>
      <c r="F154" s="125"/>
      <c r="G154" s="125"/>
      <c r="H154" s="125"/>
      <c r="I154" s="125"/>
      <c r="J154" s="126"/>
      <c r="K154" s="126" t="s">
        <v>106997</v>
      </c>
      <c r="L154" s="87" t="s">
        <v>113271</v>
      </c>
      <c r="M154" s="88" t="s">
        <v>113262</v>
      </c>
      <c r="N154" s="89">
        <v>45300</v>
      </c>
      <c r="O154" s="89" t="s">
        <v>113242</v>
      </c>
      <c r="P154" s="90" t="s">
        <v>113170</v>
      </c>
      <c r="Q154" s="90" t="s">
        <v>113051</v>
      </c>
      <c r="R154" s="91">
        <f>62700000/2</f>
        <v>31350000</v>
      </c>
      <c r="S154" s="92"/>
      <c r="T154" s="88" t="s">
        <v>113072</v>
      </c>
      <c r="U154" s="276">
        <v>4224</v>
      </c>
      <c r="V154" s="277">
        <v>31350000</v>
      </c>
      <c r="W154" s="277">
        <f t="shared" si="125"/>
        <v>0</v>
      </c>
      <c r="X154" s="344" t="s">
        <v>113380</v>
      </c>
      <c r="Y154" s="366">
        <v>31350000</v>
      </c>
      <c r="Z154" s="278">
        <f t="shared" si="128"/>
        <v>0</v>
      </c>
    </row>
    <row r="155" spans="2:27" ht="133.5" customHeight="1" x14ac:dyDescent="0.25">
      <c r="B155" s="124"/>
      <c r="C155" s="125"/>
      <c r="D155" s="125"/>
      <c r="E155" s="125"/>
      <c r="F155" s="125"/>
      <c r="G155" s="125"/>
      <c r="H155" s="125"/>
      <c r="I155" s="125"/>
      <c r="J155" s="126"/>
      <c r="K155" s="126" t="s">
        <v>106997</v>
      </c>
      <c r="L155" s="87" t="s">
        <v>113271</v>
      </c>
      <c r="M155" s="88" t="s">
        <v>113262</v>
      </c>
      <c r="N155" s="89">
        <v>45475</v>
      </c>
      <c r="O155" s="89" t="s">
        <v>112996</v>
      </c>
      <c r="P155" s="90" t="s">
        <v>113133</v>
      </c>
      <c r="Q155" s="90" t="s">
        <v>113051</v>
      </c>
      <c r="R155" s="91">
        <v>32300000</v>
      </c>
      <c r="S155" s="92"/>
      <c r="T155" s="88" t="s">
        <v>113072</v>
      </c>
      <c r="U155" s="276">
        <v>56124</v>
      </c>
      <c r="V155" s="323">
        <v>32300000</v>
      </c>
      <c r="W155" s="277">
        <f t="shared" si="125"/>
        <v>0</v>
      </c>
      <c r="X155" s="349" t="s">
        <v>113402</v>
      </c>
      <c r="Y155" s="366">
        <v>32300000</v>
      </c>
      <c r="Z155" s="278">
        <f t="shared" si="128"/>
        <v>0</v>
      </c>
    </row>
    <row r="156" spans="2:27" ht="135" x14ac:dyDescent="0.25">
      <c r="B156" s="124"/>
      <c r="C156" s="125"/>
      <c r="D156" s="125"/>
      <c r="E156" s="125"/>
      <c r="F156" s="125"/>
      <c r="G156" s="125"/>
      <c r="H156" s="125"/>
      <c r="I156" s="125"/>
      <c r="J156" s="126"/>
      <c r="K156" s="126" t="s">
        <v>106997</v>
      </c>
      <c r="L156" s="87" t="s">
        <v>113272</v>
      </c>
      <c r="M156" s="88" t="s">
        <v>113263</v>
      </c>
      <c r="N156" s="89">
        <v>45300</v>
      </c>
      <c r="O156" s="89" t="s">
        <v>113242</v>
      </c>
      <c r="P156" s="90" t="s">
        <v>113170</v>
      </c>
      <c r="Q156" s="90" t="s">
        <v>113051</v>
      </c>
      <c r="R156" s="91">
        <f>62700000/2</f>
        <v>31350000</v>
      </c>
      <c r="S156" s="92"/>
      <c r="T156" s="88" t="s">
        <v>113072</v>
      </c>
      <c r="U156" s="276">
        <v>4324</v>
      </c>
      <c r="V156" s="277">
        <v>31350000</v>
      </c>
      <c r="W156" s="277">
        <f t="shared" si="125"/>
        <v>0</v>
      </c>
      <c r="X156" s="344" t="s">
        <v>113378</v>
      </c>
      <c r="Y156" s="366">
        <v>31350000</v>
      </c>
      <c r="Z156" s="278">
        <f t="shared" si="128"/>
        <v>0</v>
      </c>
    </row>
    <row r="157" spans="2:27" ht="135" x14ac:dyDescent="0.25">
      <c r="B157" s="124"/>
      <c r="C157" s="125"/>
      <c r="D157" s="125"/>
      <c r="E157" s="125"/>
      <c r="F157" s="125"/>
      <c r="G157" s="125"/>
      <c r="H157" s="125"/>
      <c r="I157" s="125"/>
      <c r="J157" s="126"/>
      <c r="K157" s="126" t="s">
        <v>106997</v>
      </c>
      <c r="L157" s="87" t="s">
        <v>113272</v>
      </c>
      <c r="M157" s="88" t="s">
        <v>113263</v>
      </c>
      <c r="N157" s="89">
        <v>45475</v>
      </c>
      <c r="O157" s="89" t="s">
        <v>112996</v>
      </c>
      <c r="P157" s="90" t="s">
        <v>113133</v>
      </c>
      <c r="Q157" s="90" t="s">
        <v>113051</v>
      </c>
      <c r="R157" s="91">
        <v>32300000</v>
      </c>
      <c r="S157" s="92"/>
      <c r="T157" s="88" t="s">
        <v>113072</v>
      </c>
      <c r="U157" s="276">
        <v>56124</v>
      </c>
      <c r="V157" s="323">
        <v>32300000</v>
      </c>
      <c r="W157" s="277">
        <f t="shared" si="125"/>
        <v>0</v>
      </c>
      <c r="X157" s="349" t="s">
        <v>113400</v>
      </c>
      <c r="Y157" s="366">
        <v>32300000</v>
      </c>
      <c r="Z157" s="278">
        <f t="shared" si="128"/>
        <v>0</v>
      </c>
    </row>
    <row r="158" spans="2:27" ht="135" x14ac:dyDescent="0.25">
      <c r="B158" s="124"/>
      <c r="C158" s="125"/>
      <c r="D158" s="125"/>
      <c r="E158" s="125"/>
      <c r="F158" s="125"/>
      <c r="G158" s="125"/>
      <c r="H158" s="125"/>
      <c r="I158" s="125"/>
      <c r="J158" s="126"/>
      <c r="K158" s="126" t="s">
        <v>106997</v>
      </c>
      <c r="L158" s="87" t="s">
        <v>113272</v>
      </c>
      <c r="M158" s="88" t="s">
        <v>113263</v>
      </c>
      <c r="N158" s="89">
        <v>45300</v>
      </c>
      <c r="O158" s="89" t="s">
        <v>113242</v>
      </c>
      <c r="P158" s="90" t="s">
        <v>113170</v>
      </c>
      <c r="Q158" s="90" t="s">
        <v>113051</v>
      </c>
      <c r="R158" s="91">
        <f>62700000/2</f>
        <v>31350000</v>
      </c>
      <c r="S158" s="92"/>
      <c r="T158" s="88" t="s">
        <v>113072</v>
      </c>
      <c r="U158" s="276">
        <v>4424</v>
      </c>
      <c r="V158" s="277">
        <v>31350000</v>
      </c>
      <c r="W158" s="277">
        <f t="shared" si="125"/>
        <v>0</v>
      </c>
      <c r="X158" s="344" t="s">
        <v>113379</v>
      </c>
      <c r="Y158" s="366">
        <v>31350000</v>
      </c>
      <c r="Z158" s="278">
        <f t="shared" si="128"/>
        <v>0</v>
      </c>
    </row>
    <row r="159" spans="2:27" ht="135" x14ac:dyDescent="0.25">
      <c r="B159" s="124"/>
      <c r="C159" s="125"/>
      <c r="D159" s="125"/>
      <c r="E159" s="125"/>
      <c r="F159" s="125"/>
      <c r="G159" s="125"/>
      <c r="H159" s="125"/>
      <c r="I159" s="125"/>
      <c r="J159" s="126"/>
      <c r="K159" s="126" t="s">
        <v>106997</v>
      </c>
      <c r="L159" s="87" t="s">
        <v>113272</v>
      </c>
      <c r="M159" s="88" t="s">
        <v>113263</v>
      </c>
      <c r="N159" s="89">
        <v>45475</v>
      </c>
      <c r="O159" s="89" t="s">
        <v>112996</v>
      </c>
      <c r="P159" s="90" t="s">
        <v>113133</v>
      </c>
      <c r="Q159" s="90" t="s">
        <v>113051</v>
      </c>
      <c r="R159" s="91">
        <v>32300000</v>
      </c>
      <c r="S159" s="92"/>
      <c r="T159" s="88" t="s">
        <v>113072</v>
      </c>
      <c r="U159" s="276">
        <v>56124</v>
      </c>
      <c r="V159" s="323">
        <v>32300000</v>
      </c>
      <c r="W159" s="277">
        <f t="shared" si="125"/>
        <v>0</v>
      </c>
      <c r="X159" s="349" t="s">
        <v>113401</v>
      </c>
      <c r="Y159" s="366">
        <v>32300000</v>
      </c>
      <c r="Z159" s="278">
        <f t="shared" si="128"/>
        <v>0</v>
      </c>
    </row>
    <row r="160" spans="2:27" ht="120" x14ac:dyDescent="0.25">
      <c r="B160" s="124"/>
      <c r="C160" s="125"/>
      <c r="D160" s="125"/>
      <c r="E160" s="125"/>
      <c r="F160" s="125"/>
      <c r="G160" s="125"/>
      <c r="H160" s="125"/>
      <c r="I160" s="125"/>
      <c r="J160" s="126"/>
      <c r="K160" s="126" t="s">
        <v>106997</v>
      </c>
      <c r="L160" s="87" t="s">
        <v>113271</v>
      </c>
      <c r="M160" s="88" t="s">
        <v>113264</v>
      </c>
      <c r="N160" s="89">
        <v>45300</v>
      </c>
      <c r="O160" s="89" t="s">
        <v>113242</v>
      </c>
      <c r="P160" s="90" t="s">
        <v>113170</v>
      </c>
      <c r="Q160" s="90" t="s">
        <v>113051</v>
      </c>
      <c r="R160" s="91">
        <f>45100000/2</f>
        <v>22550000</v>
      </c>
      <c r="S160" s="92"/>
      <c r="T160" s="88" t="s">
        <v>113072</v>
      </c>
      <c r="U160" s="276">
        <v>4524</v>
      </c>
      <c r="V160" s="277">
        <v>22550000</v>
      </c>
      <c r="W160" s="277">
        <f t="shared" si="125"/>
        <v>0</v>
      </c>
      <c r="X160" s="344" t="s">
        <v>113377</v>
      </c>
      <c r="Y160" s="366">
        <v>22550000</v>
      </c>
      <c r="Z160" s="278">
        <f t="shared" si="128"/>
        <v>0</v>
      </c>
    </row>
    <row r="161" spans="2:27" ht="120" x14ac:dyDescent="0.25">
      <c r="B161" s="124"/>
      <c r="C161" s="125"/>
      <c r="D161" s="125"/>
      <c r="E161" s="125"/>
      <c r="F161" s="125"/>
      <c r="G161" s="125"/>
      <c r="H161" s="125"/>
      <c r="I161" s="125"/>
      <c r="J161" s="126"/>
      <c r="K161" s="126" t="s">
        <v>106997</v>
      </c>
      <c r="L161" s="87" t="s">
        <v>113271</v>
      </c>
      <c r="M161" s="88" t="s">
        <v>113264</v>
      </c>
      <c r="N161" s="89">
        <v>45475</v>
      </c>
      <c r="O161" s="89" t="s">
        <v>112996</v>
      </c>
      <c r="P161" s="90" t="s">
        <v>113303</v>
      </c>
      <c r="Q161" s="90" t="s">
        <v>113051</v>
      </c>
      <c r="R161" s="91">
        <v>23233334</v>
      </c>
      <c r="S161" s="92"/>
      <c r="T161" s="88" t="s">
        <v>113072</v>
      </c>
      <c r="U161" s="276">
        <v>56124</v>
      </c>
      <c r="V161" s="323">
        <v>23233333.329999998</v>
      </c>
      <c r="W161" s="277">
        <f t="shared" si="125"/>
        <v>0</v>
      </c>
      <c r="X161" s="349" t="s">
        <v>113399</v>
      </c>
      <c r="Y161" s="366">
        <v>23233333.329999998</v>
      </c>
      <c r="Z161" s="278">
        <f t="shared" si="128"/>
        <v>-0.67000000178813934</v>
      </c>
    </row>
    <row r="162" spans="2:27" ht="135" x14ac:dyDescent="0.25">
      <c r="B162" s="124"/>
      <c r="C162" s="125"/>
      <c r="D162" s="125"/>
      <c r="E162" s="125"/>
      <c r="F162" s="125"/>
      <c r="G162" s="125"/>
      <c r="H162" s="125"/>
      <c r="I162" s="125"/>
      <c r="J162" s="126"/>
      <c r="K162" s="126" t="s">
        <v>106997</v>
      </c>
      <c r="L162" s="87">
        <v>80101500</v>
      </c>
      <c r="M162" s="88" t="s">
        <v>113306</v>
      </c>
      <c r="N162" s="89">
        <v>45460</v>
      </c>
      <c r="O162" s="89" t="s">
        <v>113167</v>
      </c>
      <c r="P162" s="90" t="s">
        <v>113001</v>
      </c>
      <c r="Q162" s="90" t="s">
        <v>113051</v>
      </c>
      <c r="R162" s="94">
        <v>35340000</v>
      </c>
      <c r="S162" s="92"/>
      <c r="T162" s="88" t="s">
        <v>113072</v>
      </c>
      <c r="U162" s="276">
        <v>56124</v>
      </c>
      <c r="V162" s="323">
        <v>35340000</v>
      </c>
      <c r="W162" s="277">
        <f t="shared" si="125"/>
        <v>0</v>
      </c>
      <c r="X162" s="349" t="s">
        <v>113396</v>
      </c>
      <c r="Y162" s="366">
        <v>35340000</v>
      </c>
      <c r="Z162" s="278">
        <f t="shared" si="128"/>
        <v>0</v>
      </c>
      <c r="AA162" s="298"/>
    </row>
    <row r="163" spans="2:27" ht="120" x14ac:dyDescent="0.25">
      <c r="B163" s="124"/>
      <c r="C163" s="125"/>
      <c r="D163" s="125"/>
      <c r="E163" s="125"/>
      <c r="F163" s="125"/>
      <c r="G163" s="125"/>
      <c r="H163" s="125"/>
      <c r="I163" s="125"/>
      <c r="J163" s="126"/>
      <c r="K163" s="126" t="s">
        <v>106997</v>
      </c>
      <c r="L163" s="51">
        <v>80101500</v>
      </c>
      <c r="M163" s="88" t="s">
        <v>113305</v>
      </c>
      <c r="N163" s="89">
        <v>45460</v>
      </c>
      <c r="O163" s="89" t="s">
        <v>113167</v>
      </c>
      <c r="P163" s="90" t="s">
        <v>113001</v>
      </c>
      <c r="Q163" s="90" t="s">
        <v>113051</v>
      </c>
      <c r="R163" s="94">
        <v>34390000</v>
      </c>
      <c r="S163" s="92"/>
      <c r="T163" s="88" t="s">
        <v>113072</v>
      </c>
      <c r="U163" s="276">
        <v>56124</v>
      </c>
      <c r="V163" s="323">
        <v>34390000</v>
      </c>
      <c r="W163" s="277">
        <f t="shared" si="125"/>
        <v>0</v>
      </c>
      <c r="X163" s="349" t="s">
        <v>113395</v>
      </c>
      <c r="Y163" s="366">
        <v>34390000</v>
      </c>
      <c r="Z163" s="278">
        <f t="shared" si="128"/>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6">
        <v>3224</v>
      </c>
      <c r="V164" s="277">
        <v>22550000</v>
      </c>
      <c r="W164" s="277">
        <f t="shared" si="125"/>
        <v>0</v>
      </c>
      <c r="X164" s="344" t="s">
        <v>113382</v>
      </c>
      <c r="Y164" s="366">
        <v>22550000</v>
      </c>
      <c r="Z164" s="278">
        <f t="shared" si="128"/>
        <v>0</v>
      </c>
    </row>
    <row r="165" spans="2:27" ht="108" customHeight="1" x14ac:dyDescent="0.25">
      <c r="B165" s="124"/>
      <c r="C165" s="125"/>
      <c r="D165" s="125"/>
      <c r="E165" s="125"/>
      <c r="F165" s="125"/>
      <c r="G165" s="125"/>
      <c r="H165" s="125"/>
      <c r="I165" s="125"/>
      <c r="J165" s="126"/>
      <c r="K165" s="126" t="s">
        <v>106997</v>
      </c>
      <c r="L165" s="51">
        <v>80101500</v>
      </c>
      <c r="M165" s="88" t="s">
        <v>113334</v>
      </c>
      <c r="N165" s="89">
        <v>45475</v>
      </c>
      <c r="O165" s="89" t="s">
        <v>113307</v>
      </c>
      <c r="P165" s="90" t="s">
        <v>113303</v>
      </c>
      <c r="Q165" s="90" t="s">
        <v>113068</v>
      </c>
      <c r="R165" s="91">
        <v>34200000</v>
      </c>
      <c r="S165" s="92"/>
      <c r="T165" s="88" t="s">
        <v>113078</v>
      </c>
      <c r="U165" s="276">
        <v>63824</v>
      </c>
      <c r="V165" s="277">
        <v>32300000</v>
      </c>
      <c r="W165" s="277">
        <f t="shared" si="125"/>
        <v>0</v>
      </c>
      <c r="X165" s="344" t="s">
        <v>113461</v>
      </c>
      <c r="Y165" s="366">
        <v>32300000</v>
      </c>
      <c r="Z165" s="278">
        <f t="shared" si="128"/>
        <v>-1900000</v>
      </c>
    </row>
    <row r="166" spans="2:27" ht="75" x14ac:dyDescent="0.25">
      <c r="B166" s="124"/>
      <c r="C166" s="125"/>
      <c r="D166" s="125"/>
      <c r="E166" s="125"/>
      <c r="F166" s="125"/>
      <c r="G166" s="125"/>
      <c r="H166" s="125"/>
      <c r="I166" s="125"/>
      <c r="J166" s="126"/>
      <c r="K166" s="126"/>
      <c r="L166" s="274">
        <v>80101500</v>
      </c>
      <c r="M166" s="120" t="s">
        <v>113472</v>
      </c>
      <c r="N166" s="89">
        <v>45536</v>
      </c>
      <c r="O166" s="89" t="s">
        <v>113074</v>
      </c>
      <c r="P166" s="90" t="s">
        <v>112997</v>
      </c>
      <c r="Q166" s="90" t="s">
        <v>113088</v>
      </c>
      <c r="R166" s="94">
        <v>15000000</v>
      </c>
      <c r="S166" s="92"/>
      <c r="T166" s="88" t="s">
        <v>113017</v>
      </c>
      <c r="U166" s="276">
        <v>89724</v>
      </c>
      <c r="V166" s="277">
        <v>15000000</v>
      </c>
      <c r="W166" s="277">
        <f t="shared" si="125"/>
        <v>15000000</v>
      </c>
      <c r="X166" s="344"/>
      <c r="Y166" s="366"/>
      <c r="Z166" s="278">
        <f t="shared" si="128"/>
        <v>-15000000</v>
      </c>
    </row>
    <row r="167" spans="2:27" ht="90" x14ac:dyDescent="0.25">
      <c r="B167" s="124"/>
      <c r="C167" s="125"/>
      <c r="D167" s="125"/>
      <c r="E167" s="125"/>
      <c r="F167" s="125"/>
      <c r="G167" s="125"/>
      <c r="H167" s="125"/>
      <c r="I167" s="125"/>
      <c r="J167" s="126"/>
      <c r="K167" s="126"/>
      <c r="L167" s="176">
        <v>80101500</v>
      </c>
      <c r="M167" s="120" t="s">
        <v>113285</v>
      </c>
      <c r="N167" s="89">
        <v>45422</v>
      </c>
      <c r="O167" s="89" t="s">
        <v>113082</v>
      </c>
      <c r="P167" s="90" t="s">
        <v>113038</v>
      </c>
      <c r="Q167" s="90" t="s">
        <v>113051</v>
      </c>
      <c r="R167" s="91">
        <v>24000000</v>
      </c>
      <c r="S167" s="92"/>
      <c r="T167" s="88" t="s">
        <v>113078</v>
      </c>
      <c r="U167" s="276">
        <v>49224</v>
      </c>
      <c r="V167" s="277">
        <v>19500000</v>
      </c>
      <c r="W167" s="277">
        <f t="shared" si="125"/>
        <v>0</v>
      </c>
      <c r="X167" s="344" t="s">
        <v>113394</v>
      </c>
      <c r="Y167" s="366">
        <v>19500000</v>
      </c>
      <c r="Z167" s="278">
        <f t="shared" si="128"/>
        <v>-4500000</v>
      </c>
    </row>
    <row r="168" spans="2:27" ht="60" x14ac:dyDescent="0.25">
      <c r="B168" s="124"/>
      <c r="C168" s="125"/>
      <c r="D168" s="125"/>
      <c r="E168" s="125"/>
      <c r="F168" s="125"/>
      <c r="G168" s="125"/>
      <c r="H168" s="125"/>
      <c r="I168" s="125"/>
      <c r="J168" s="126"/>
      <c r="K168" s="126"/>
      <c r="L168" s="176">
        <v>80101500</v>
      </c>
      <c r="M168" s="120" t="s">
        <v>113284</v>
      </c>
      <c r="N168" s="89">
        <v>45422</v>
      </c>
      <c r="O168" s="89" t="s">
        <v>113082</v>
      </c>
      <c r="P168" s="90" t="s">
        <v>112997</v>
      </c>
      <c r="Q168" s="90" t="s">
        <v>113051</v>
      </c>
      <c r="R168" s="91">
        <f>9600000+4800000</f>
        <v>14400000</v>
      </c>
      <c r="S168" s="92"/>
      <c r="T168" s="88" t="s">
        <v>113090</v>
      </c>
      <c r="U168" s="276">
        <v>50924</v>
      </c>
      <c r="V168" s="277">
        <f>9600000+4800000</f>
        <v>14400000</v>
      </c>
      <c r="W168" s="277">
        <f t="shared" si="125"/>
        <v>0</v>
      </c>
      <c r="X168" s="359" t="s">
        <v>113502</v>
      </c>
      <c r="Y168" s="366">
        <f>9600000+4800000</f>
        <v>14400000</v>
      </c>
      <c r="Z168" s="278">
        <f t="shared" si="128"/>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113322</v>
      </c>
      <c r="N169" s="79"/>
      <c r="O169" s="79"/>
      <c r="P169" s="80"/>
      <c r="Q169" s="105"/>
      <c r="R169" s="81">
        <f>SUM(R170)</f>
        <v>10000000</v>
      </c>
      <c r="S169" s="82"/>
      <c r="T169" s="96"/>
      <c r="U169" s="79"/>
      <c r="V169" s="392">
        <f t="shared" ref="V169:W169" si="129">SUM(V170)</f>
        <v>10000000</v>
      </c>
      <c r="W169" s="81">
        <f t="shared" si="129"/>
        <v>10000000</v>
      </c>
      <c r="X169" s="339"/>
      <c r="Y169" s="81">
        <f t="shared" ref="Y169:Z169" si="130">SUM(Y170)</f>
        <v>0</v>
      </c>
      <c r="Z169" s="81">
        <f t="shared" si="130"/>
        <v>-10000000</v>
      </c>
    </row>
    <row r="170" spans="2:27" ht="30" x14ac:dyDescent="0.25">
      <c r="B170" s="84"/>
      <c r="C170" s="85"/>
      <c r="D170" s="85"/>
      <c r="E170" s="85"/>
      <c r="F170" s="85"/>
      <c r="G170" s="85"/>
      <c r="H170" s="85"/>
      <c r="I170" s="85"/>
      <c r="J170" s="86"/>
      <c r="K170" s="86" t="s">
        <v>106997</v>
      </c>
      <c r="L170" s="51">
        <v>80101500</v>
      </c>
      <c r="M170" s="97" t="s">
        <v>113514</v>
      </c>
      <c r="N170" s="89">
        <v>45565</v>
      </c>
      <c r="O170" s="89" t="s">
        <v>113067</v>
      </c>
      <c r="P170" s="90" t="s">
        <v>112997</v>
      </c>
      <c r="Q170" s="90" t="s">
        <v>113068</v>
      </c>
      <c r="R170" s="94">
        <v>10000000</v>
      </c>
      <c r="S170" s="92"/>
      <c r="T170" s="93" t="s">
        <v>113010</v>
      </c>
      <c r="U170" s="276">
        <v>59424</v>
      </c>
      <c r="V170" s="277">
        <v>10000000</v>
      </c>
      <c r="W170" s="277">
        <f t="shared" ref="W170:W179" si="131">V170-Y170</f>
        <v>10000000</v>
      </c>
      <c r="X170" s="344"/>
      <c r="Y170" s="366"/>
      <c r="Z170" s="278">
        <f>Y170-R170</f>
        <v>-10000000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113323</v>
      </c>
      <c r="N171" s="79"/>
      <c r="O171" s="79"/>
      <c r="P171" s="80"/>
      <c r="Q171" s="80"/>
      <c r="R171" s="81">
        <f>SUM(R172:R179)</f>
        <v>102395666</v>
      </c>
      <c r="S171" s="82"/>
      <c r="T171" s="96"/>
      <c r="U171" s="79"/>
      <c r="V171" s="392">
        <f t="shared" ref="V171:W171" si="132">SUM(V172:V179)</f>
        <v>90409000</v>
      </c>
      <c r="W171" s="81">
        <f t="shared" si="132"/>
        <v>3095665.3299999982</v>
      </c>
      <c r="X171" s="339"/>
      <c r="Y171" s="81">
        <f t="shared" ref="Y171:Z171" si="133">SUM(Y172:Y179)</f>
        <v>87313334.670000002</v>
      </c>
      <c r="Z171" s="81">
        <f t="shared" si="133"/>
        <v>-15082331.329999998</v>
      </c>
    </row>
    <row r="172" spans="2:27" ht="30" x14ac:dyDescent="0.25">
      <c r="B172" s="84"/>
      <c r="C172" s="85"/>
      <c r="D172" s="85"/>
      <c r="E172" s="85"/>
      <c r="F172" s="85"/>
      <c r="G172" s="85"/>
      <c r="H172" s="85"/>
      <c r="I172" s="85"/>
      <c r="J172" s="86"/>
      <c r="K172" s="86" t="s">
        <v>106997</v>
      </c>
      <c r="L172" s="87">
        <v>80101500</v>
      </c>
      <c r="M172" s="88" t="s">
        <v>113174</v>
      </c>
      <c r="N172" s="89">
        <v>45300</v>
      </c>
      <c r="O172" s="89" t="s">
        <v>113035</v>
      </c>
      <c r="P172" s="90" t="s">
        <v>113269</v>
      </c>
      <c r="Q172" s="90" t="s">
        <v>113051</v>
      </c>
      <c r="R172" s="91">
        <f>8200000-600000+1786666</f>
        <v>9386666</v>
      </c>
      <c r="S172" s="92"/>
      <c r="T172" s="93" t="s">
        <v>113052</v>
      </c>
      <c r="U172" s="279"/>
      <c r="V172" s="277"/>
      <c r="W172" s="277">
        <f t="shared" si="131"/>
        <v>0</v>
      </c>
      <c r="X172" s="344"/>
      <c r="Y172" s="366"/>
      <c r="Z172" s="278">
        <f t="shared" ref="Z172:Z184" si="134">Y172-R172</f>
        <v>-9386666</v>
      </c>
    </row>
    <row r="173" spans="2:27"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6">
        <v>6024</v>
      </c>
      <c r="V173" s="277">
        <v>28600000</v>
      </c>
      <c r="W173" s="277">
        <f t="shared" si="131"/>
        <v>953333.32999999821</v>
      </c>
      <c r="X173" s="344" t="s">
        <v>113384</v>
      </c>
      <c r="Y173" s="366">
        <v>27646666.670000002</v>
      </c>
      <c r="Z173" s="278">
        <f t="shared" si="134"/>
        <v>-953333.32999999821</v>
      </c>
    </row>
    <row r="174" spans="2:27"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6">
        <v>6124</v>
      </c>
      <c r="V174" s="277">
        <v>24409000</v>
      </c>
      <c r="W174" s="277">
        <f t="shared" si="131"/>
        <v>1009000</v>
      </c>
      <c r="X174" s="344" t="s">
        <v>113386</v>
      </c>
      <c r="Y174" s="366">
        <v>23400000</v>
      </c>
      <c r="Z174" s="278">
        <f t="shared" si="134"/>
        <v>-3609000</v>
      </c>
    </row>
    <row r="175" spans="2:27"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9"/>
      <c r="V175" s="277"/>
      <c r="W175" s="277">
        <f t="shared" si="131"/>
        <v>0</v>
      </c>
      <c r="X175" s="344"/>
      <c r="Y175" s="366"/>
      <c r="Z175" s="278">
        <f t="shared" si="134"/>
        <v>0</v>
      </c>
    </row>
    <row r="176" spans="2:27"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6">
        <v>6224</v>
      </c>
      <c r="V176" s="277">
        <v>11900000</v>
      </c>
      <c r="W176" s="277">
        <f t="shared" si="131"/>
        <v>0</v>
      </c>
      <c r="X176" s="344" t="s">
        <v>113387</v>
      </c>
      <c r="Y176" s="366">
        <v>11900000</v>
      </c>
      <c r="Z176" s="278">
        <f t="shared" si="134"/>
        <v>0</v>
      </c>
    </row>
    <row r="177" spans="2:26"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6">
        <v>75424</v>
      </c>
      <c r="V177" s="277">
        <v>6800000</v>
      </c>
      <c r="W177" s="277">
        <f t="shared" si="131"/>
        <v>566666</v>
      </c>
      <c r="X177" s="344" t="s">
        <v>113492</v>
      </c>
      <c r="Y177" s="366">
        <v>6233334</v>
      </c>
      <c r="Z177" s="278">
        <f t="shared" si="134"/>
        <v>-566666</v>
      </c>
    </row>
    <row r="178" spans="2:26"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6">
        <v>6324</v>
      </c>
      <c r="V178" s="277">
        <v>11900000</v>
      </c>
      <c r="W178" s="277">
        <f t="shared" si="131"/>
        <v>0</v>
      </c>
      <c r="X178" s="344" t="s">
        <v>113385</v>
      </c>
      <c r="Y178" s="366">
        <v>11900000</v>
      </c>
      <c r="Z178" s="278">
        <f t="shared" si="134"/>
        <v>0</v>
      </c>
    </row>
    <row r="179" spans="2:26"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6">
        <v>75424</v>
      </c>
      <c r="V179" s="277">
        <v>6800000</v>
      </c>
      <c r="W179" s="277">
        <f t="shared" si="131"/>
        <v>566666</v>
      </c>
      <c r="X179" s="344" t="s">
        <v>113492</v>
      </c>
      <c r="Y179" s="366">
        <v>6233334</v>
      </c>
      <c r="Z179" s="278">
        <f t="shared" si="134"/>
        <v>-566666</v>
      </c>
    </row>
    <row r="180" spans="2:26" ht="30" x14ac:dyDescent="0.25">
      <c r="B180" s="309" t="s">
        <v>105516</v>
      </c>
      <c r="C180" s="309" t="s">
        <v>105573</v>
      </c>
      <c r="D180" s="309" t="s">
        <v>105573</v>
      </c>
      <c r="E180" s="309" t="s">
        <v>105573</v>
      </c>
      <c r="F180" s="309" t="s">
        <v>105553</v>
      </c>
      <c r="G180" s="309" t="s">
        <v>105541</v>
      </c>
      <c r="H180" s="68"/>
      <c r="I180" s="68"/>
      <c r="J180" s="68"/>
      <c r="K180" s="69"/>
      <c r="L180" s="69"/>
      <c r="M180" s="70" t="s">
        <v>107040</v>
      </c>
      <c r="N180" s="71"/>
      <c r="O180" s="71"/>
      <c r="P180" s="72"/>
      <c r="Q180" s="72"/>
      <c r="R180" s="73">
        <f>+R181+R185</f>
        <v>58320000</v>
      </c>
      <c r="S180" s="74"/>
      <c r="T180" s="75"/>
      <c r="U180" s="71" t="s">
        <v>112994</v>
      </c>
      <c r="V180" s="391">
        <f t="shared" ref="V180:W180" si="135">+V181+V185</f>
        <v>34075360.539999999</v>
      </c>
      <c r="W180" s="73">
        <f t="shared" si="135"/>
        <v>0</v>
      </c>
      <c r="X180" s="338"/>
      <c r="Y180" s="73">
        <f t="shared" ref="Y180:Z180" si="136">+Y181+Y185</f>
        <v>34075360.539999999</v>
      </c>
      <c r="Z180" s="73">
        <f t="shared" si="136"/>
        <v>-24244639.460000001</v>
      </c>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72"/>
      <c r="V181" s="392">
        <f>SUM(V182:V184)</f>
        <v>30062312</v>
      </c>
      <c r="W181" s="81">
        <f>SUM(W182:W184)</f>
        <v>0</v>
      </c>
      <c r="X181" s="339"/>
      <c r="Y181" s="81">
        <f t="shared" ref="Y181:Z181" si="137">SUM(Y182:Y184)</f>
        <v>30062312</v>
      </c>
      <c r="Z181" s="81">
        <f t="shared" si="137"/>
        <v>-19737688</v>
      </c>
    </row>
    <row r="182" spans="2:26"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6" t="s">
        <v>113506</v>
      </c>
      <c r="V182" s="277">
        <v>14043957</v>
      </c>
      <c r="W182" s="277">
        <f t="shared" ref="W182:W184" si="138">V182-Y182</f>
        <v>0</v>
      </c>
      <c r="X182" s="344" t="s">
        <v>113507</v>
      </c>
      <c r="Y182" s="366">
        <v>14043957</v>
      </c>
      <c r="Z182" s="278">
        <f t="shared" si="134"/>
        <v>-956043</v>
      </c>
    </row>
    <row r="183" spans="2:26"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6" t="s">
        <v>113505</v>
      </c>
      <c r="V183" s="277">
        <v>16018355</v>
      </c>
      <c r="W183" s="277">
        <f t="shared" si="138"/>
        <v>0</v>
      </c>
      <c r="X183" s="344" t="s">
        <v>113508</v>
      </c>
      <c r="Y183" s="366">
        <v>16018355</v>
      </c>
      <c r="Z183" s="278">
        <f t="shared" si="134"/>
        <v>-16781645</v>
      </c>
    </row>
    <row r="184" spans="2:26"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9"/>
      <c r="V184" s="277"/>
      <c r="W184" s="277">
        <f t="shared" si="138"/>
        <v>0</v>
      </c>
      <c r="X184" s="344"/>
      <c r="Y184" s="366"/>
      <c r="Z184" s="278">
        <f t="shared" si="134"/>
        <v>-2000000</v>
      </c>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113324</v>
      </c>
      <c r="N185" s="79"/>
      <c r="O185" s="79"/>
      <c r="P185" s="80"/>
      <c r="Q185" s="80"/>
      <c r="R185" s="81">
        <f>SUM(R186+R187)</f>
        <v>8520000</v>
      </c>
      <c r="S185" s="82"/>
      <c r="T185" s="96"/>
      <c r="U185" s="324"/>
      <c r="V185" s="392">
        <f>SUM(V186:V187)</f>
        <v>4013048.54</v>
      </c>
      <c r="W185" s="81">
        <f>SUM(W186:W187)</f>
        <v>0</v>
      </c>
      <c r="X185" s="343"/>
      <c r="Y185" s="81">
        <f>SUM(Y186:Y187)</f>
        <v>4013048.54</v>
      </c>
      <c r="Z185" s="81">
        <f>SUM(Z186:Z187)</f>
        <v>-4506951.46</v>
      </c>
    </row>
    <row r="186" spans="2:26" ht="45.75" customHeight="1" x14ac:dyDescent="0.25">
      <c r="B186" s="273"/>
      <c r="C186" s="86"/>
      <c r="D186" s="86"/>
      <c r="E186" s="86"/>
      <c r="F186" s="86"/>
      <c r="G186" s="86"/>
      <c r="H186" s="86"/>
      <c r="I186" s="86"/>
      <c r="J186" s="86"/>
      <c r="K186" s="86" t="s">
        <v>107039</v>
      </c>
      <c r="L186" s="51">
        <v>81112100</v>
      </c>
      <c r="M186" s="88" t="s">
        <v>113240</v>
      </c>
      <c r="N186" s="89">
        <v>45414</v>
      </c>
      <c r="O186" s="89" t="s">
        <v>113167</v>
      </c>
      <c r="P186" s="90" t="s">
        <v>113001</v>
      </c>
      <c r="Q186" s="90" t="s">
        <v>113039</v>
      </c>
      <c r="R186" s="91">
        <f>4200000+600000</f>
        <v>4800000</v>
      </c>
      <c r="S186" s="262">
        <v>5088000</v>
      </c>
      <c r="T186" s="93" t="s">
        <v>113002</v>
      </c>
      <c r="U186" s="276">
        <v>924</v>
      </c>
      <c r="V186" s="277">
        <v>4013048.54</v>
      </c>
      <c r="W186" s="277">
        <f t="shared" ref="W186" si="139">V186-Y186</f>
        <v>0</v>
      </c>
      <c r="X186" s="344" t="s">
        <v>113504</v>
      </c>
      <c r="Y186" s="277">
        <v>4013048.54</v>
      </c>
      <c r="Z186" s="278">
        <f>Y186-R186</f>
        <v>-786951.46</v>
      </c>
    </row>
    <row r="187" spans="2:26" ht="45" customHeight="1" x14ac:dyDescent="0.25">
      <c r="B187" s="273"/>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6"/>
      <c r="V187" s="277"/>
      <c r="W187" s="277"/>
      <c r="X187" s="344"/>
      <c r="Y187" s="277"/>
      <c r="Z187" s="278">
        <f>Y187-R187</f>
        <v>-3720000</v>
      </c>
    </row>
    <row r="188" spans="2:26" x14ac:dyDescent="0.25">
      <c r="B188" s="309" t="s">
        <v>105516</v>
      </c>
      <c r="C188" s="309" t="s">
        <v>105573</v>
      </c>
      <c r="D188" s="309" t="s">
        <v>105573</v>
      </c>
      <c r="E188" s="309" t="s">
        <v>105573</v>
      </c>
      <c r="F188" s="309" t="s">
        <v>105553</v>
      </c>
      <c r="G188" s="310" t="s">
        <v>105544</v>
      </c>
      <c r="H188" s="68"/>
      <c r="I188" s="68"/>
      <c r="J188" s="68"/>
      <c r="K188" s="69"/>
      <c r="L188" s="69"/>
      <c r="M188" s="70" t="s">
        <v>107054</v>
      </c>
      <c r="N188" s="71"/>
      <c r="O188" s="71"/>
      <c r="P188" s="72"/>
      <c r="Q188" s="72"/>
      <c r="R188" s="73">
        <f>+R191+R189</f>
        <v>75749628</v>
      </c>
      <c r="S188" s="74"/>
      <c r="T188" s="75"/>
      <c r="U188" s="71" t="s">
        <v>112994</v>
      </c>
      <c r="V188" s="391">
        <f t="shared" ref="V188:W188" si="140">+V191+V189</f>
        <v>75749628</v>
      </c>
      <c r="W188" s="73">
        <f t="shared" si="140"/>
        <v>75749628</v>
      </c>
      <c r="X188" s="338"/>
      <c r="Y188" s="73">
        <f t="shared" ref="Y188:Z188" si="141">+Y191+Y189</f>
        <v>0</v>
      </c>
      <c r="Z188" s="73">
        <f t="shared" si="141"/>
        <v>-75749628</v>
      </c>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92">
        <f t="shared" ref="V189:W189" si="142">V190</f>
        <v>65749628</v>
      </c>
      <c r="W189" s="81">
        <f t="shared" si="142"/>
        <v>65749628</v>
      </c>
      <c r="X189" s="339"/>
      <c r="Y189" s="81">
        <f t="shared" ref="Y189:Z189" si="143">Y190</f>
        <v>0</v>
      </c>
      <c r="Z189" s="81">
        <f t="shared" si="143"/>
        <v>-65749628</v>
      </c>
    </row>
    <row r="190" spans="2:26" ht="19.5" customHeight="1" x14ac:dyDescent="0.25">
      <c r="B190" s="84"/>
      <c r="C190" s="85"/>
      <c r="D190" s="85"/>
      <c r="E190" s="85"/>
      <c r="F190" s="85"/>
      <c r="G190" s="85"/>
      <c r="H190" s="85"/>
      <c r="I190" s="85"/>
      <c r="J190" s="86"/>
      <c r="K190" s="86" t="s">
        <v>107053</v>
      </c>
      <c r="L190" s="87">
        <v>93141800</v>
      </c>
      <c r="M190" s="97" t="s">
        <v>113493</v>
      </c>
      <c r="N190" s="89">
        <v>45585</v>
      </c>
      <c r="O190" s="89" t="s">
        <v>113067</v>
      </c>
      <c r="P190" s="90" t="s">
        <v>113165</v>
      </c>
      <c r="Q190" s="90" t="s">
        <v>113029</v>
      </c>
      <c r="R190" s="94">
        <v>65749628</v>
      </c>
      <c r="S190" s="119"/>
      <c r="T190" s="93" t="s">
        <v>113010</v>
      </c>
      <c r="U190" s="276">
        <v>87724</v>
      </c>
      <c r="V190" s="394">
        <v>65749628</v>
      </c>
      <c r="W190" s="277">
        <f t="shared" ref="W190" si="144">V190-Y190</f>
        <v>65749628</v>
      </c>
      <c r="X190" s="344"/>
      <c r="Y190" s="366"/>
      <c r="Z190" s="278">
        <f>Y190-R190</f>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92">
        <f t="shared" ref="V191:W192" si="145">+V192</f>
        <v>10000000</v>
      </c>
      <c r="W191" s="81">
        <f t="shared" si="145"/>
        <v>10000000</v>
      </c>
      <c r="X191" s="339"/>
      <c r="Y191" s="81">
        <f t="shared" ref="Y191:Z192" si="146">+Y192</f>
        <v>0</v>
      </c>
      <c r="Z191" s="81">
        <f t="shared" si="146"/>
        <v>-10000000</v>
      </c>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92">
        <f t="shared" si="145"/>
        <v>10000000</v>
      </c>
      <c r="W192" s="81">
        <f t="shared" si="145"/>
        <v>10000000</v>
      </c>
      <c r="X192" s="339"/>
      <c r="Y192" s="81">
        <f t="shared" si="146"/>
        <v>0</v>
      </c>
      <c r="Z192" s="81">
        <f t="shared" si="146"/>
        <v>-10000000</v>
      </c>
    </row>
    <row r="193" spans="2:26" ht="30" x14ac:dyDescent="0.25">
      <c r="B193" s="84"/>
      <c r="C193" s="85"/>
      <c r="D193" s="85"/>
      <c r="E193" s="85"/>
      <c r="F193" s="85"/>
      <c r="G193" s="85"/>
      <c r="H193" s="85"/>
      <c r="I193" s="85"/>
      <c r="J193" s="86"/>
      <c r="K193" s="86" t="s">
        <v>107053</v>
      </c>
      <c r="L193" s="87" t="s">
        <v>113095</v>
      </c>
      <c r="M193" s="97" t="s">
        <v>113259</v>
      </c>
      <c r="N193" s="89">
        <v>45488</v>
      </c>
      <c r="O193" s="89" t="s">
        <v>113008</v>
      </c>
      <c r="P193" s="90" t="s">
        <v>113165</v>
      </c>
      <c r="Q193" s="90" t="s">
        <v>113088</v>
      </c>
      <c r="R193" s="94">
        <v>10000000</v>
      </c>
      <c r="S193" s="119"/>
      <c r="T193" s="93" t="s">
        <v>113027</v>
      </c>
      <c r="U193" s="276">
        <v>87324</v>
      </c>
      <c r="V193" s="277">
        <v>10000000</v>
      </c>
      <c r="W193" s="277">
        <f t="shared" ref="W193" si="147">V193-Y193</f>
        <v>10000000</v>
      </c>
      <c r="X193" s="344"/>
      <c r="Y193" s="366"/>
      <c r="Z193" s="278">
        <f>Y193-R193</f>
        <v>-10000000</v>
      </c>
    </row>
    <row r="194" spans="2:26" ht="39.75" customHeight="1" x14ac:dyDescent="0.25">
      <c r="B194" s="309" t="s">
        <v>105516</v>
      </c>
      <c r="C194" s="309" t="s">
        <v>105573</v>
      </c>
      <c r="D194" s="309" t="s">
        <v>105573</v>
      </c>
      <c r="E194" s="309" t="s">
        <v>105573</v>
      </c>
      <c r="F194" s="309" t="s">
        <v>105553</v>
      </c>
      <c r="G194" s="309" t="s">
        <v>105550</v>
      </c>
      <c r="H194" s="68"/>
      <c r="I194" s="68"/>
      <c r="J194" s="68"/>
      <c r="K194" s="69"/>
      <c r="L194" s="69"/>
      <c r="M194" s="70" t="s">
        <v>107092</v>
      </c>
      <c r="N194" s="71"/>
      <c r="O194" s="71"/>
      <c r="P194" s="72"/>
      <c r="Q194" s="72"/>
      <c r="R194" s="73">
        <f>+R195</f>
        <v>180912000</v>
      </c>
      <c r="S194" s="74"/>
      <c r="T194" s="75"/>
      <c r="U194" s="71" t="s">
        <v>112994</v>
      </c>
      <c r="V194" s="391">
        <f t="shared" ref="V194:W194" si="148">+V195</f>
        <v>166961116.46000001</v>
      </c>
      <c r="W194" s="73">
        <f t="shared" si="148"/>
        <v>71412000</v>
      </c>
      <c r="X194" s="338"/>
      <c r="Y194" s="73">
        <f t="shared" ref="Y194:Z194" si="149">+Y195</f>
        <v>95549116.460000008</v>
      </c>
      <c r="Z194" s="73">
        <f t="shared" si="149"/>
        <v>-85362883.539999992</v>
      </c>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92">
        <f t="shared" ref="V195:W195" si="150">+V196+V198+V203</f>
        <v>166961116.46000001</v>
      </c>
      <c r="W195" s="81">
        <f t="shared" si="150"/>
        <v>71412000</v>
      </c>
      <c r="X195" s="339"/>
      <c r="Y195" s="81">
        <f t="shared" ref="Y195" si="151">+Y196+Y198+Y203</f>
        <v>95549116.460000008</v>
      </c>
      <c r="Z195" s="81">
        <f>+Z196+Z198+Z203</f>
        <v>-85362883.539999992</v>
      </c>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113325</v>
      </c>
      <c r="N196" s="79"/>
      <c r="O196" s="79"/>
      <c r="P196" s="80"/>
      <c r="Q196" s="80"/>
      <c r="R196" s="81">
        <f>+R197</f>
        <v>40000000</v>
      </c>
      <c r="S196" s="82"/>
      <c r="T196" s="96"/>
      <c r="U196" s="79"/>
      <c r="V196" s="392">
        <f t="shared" ref="V196:W196" si="152">+V197</f>
        <v>40000000</v>
      </c>
      <c r="W196" s="81">
        <f t="shared" si="152"/>
        <v>40000000</v>
      </c>
      <c r="X196" s="339"/>
      <c r="Y196" s="81">
        <f t="shared" ref="Y196:Z196" si="153">+Y197</f>
        <v>0</v>
      </c>
      <c r="Z196" s="81">
        <f t="shared" si="153"/>
        <v>-40000000</v>
      </c>
    </row>
    <row r="197" spans="2:26" ht="78.75" customHeight="1" x14ac:dyDescent="0.25">
      <c r="B197" s="84"/>
      <c r="C197" s="85"/>
      <c r="D197" s="85"/>
      <c r="E197" s="85"/>
      <c r="F197" s="85"/>
      <c r="G197" s="85"/>
      <c r="H197" s="85"/>
      <c r="I197" s="85"/>
      <c r="J197" s="86"/>
      <c r="K197" s="86" t="s">
        <v>107091</v>
      </c>
      <c r="L197" s="87" t="s">
        <v>113097</v>
      </c>
      <c r="M197" s="88" t="s">
        <v>113509</v>
      </c>
      <c r="N197" s="89">
        <v>45536</v>
      </c>
      <c r="O197" s="89" t="s">
        <v>113074</v>
      </c>
      <c r="P197" s="90" t="s">
        <v>113005</v>
      </c>
      <c r="Q197" s="90" t="s">
        <v>113089</v>
      </c>
      <c r="R197" s="94">
        <f>80000000-40000000</f>
        <v>40000000</v>
      </c>
      <c r="S197" s="92"/>
      <c r="T197" s="93" t="s">
        <v>113002</v>
      </c>
      <c r="U197" s="276">
        <v>81024</v>
      </c>
      <c r="V197" s="277">
        <f>80000000-40000000</f>
        <v>40000000</v>
      </c>
      <c r="W197" s="277">
        <f t="shared" ref="W197" si="154">V197-Y197</f>
        <v>40000000</v>
      </c>
      <c r="X197" s="344"/>
      <c r="Y197" s="366"/>
      <c r="Z197" s="278">
        <f>Y197-R197</f>
        <v>-40000000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92">
        <f t="shared" ref="V198:W198" si="155">SUM(V199:V202)</f>
        <v>82580000</v>
      </c>
      <c r="W198" s="81">
        <f t="shared" si="155"/>
        <v>16500000</v>
      </c>
      <c r="X198" s="339"/>
      <c r="Y198" s="81">
        <f t="shared" ref="Y198:Z198" si="156">SUM(Y199:Y202)</f>
        <v>66080000</v>
      </c>
      <c r="Z198" s="81">
        <f t="shared" si="156"/>
        <v>-27920000</v>
      </c>
    </row>
    <row r="199" spans="2:26"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6">
        <v>8224</v>
      </c>
      <c r="V199" s="277">
        <v>50000000</v>
      </c>
      <c r="W199" s="277">
        <f t="shared" ref="W199:W201" si="157">V199-Y199</f>
        <v>0</v>
      </c>
      <c r="X199" s="344" t="s">
        <v>113407</v>
      </c>
      <c r="Y199" s="366">
        <v>50000000</v>
      </c>
      <c r="Z199" s="278">
        <f t="shared" ref="Z199:Z202" si="158">Y199-R199</f>
        <v>-11000000</v>
      </c>
    </row>
    <row r="200" spans="2:26"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6">
        <v>1024</v>
      </c>
      <c r="V200" s="277">
        <v>16080000</v>
      </c>
      <c r="W200" s="277">
        <f t="shared" si="157"/>
        <v>0</v>
      </c>
      <c r="X200" s="344" t="s">
        <v>113409</v>
      </c>
      <c r="Y200" s="366">
        <v>16080000</v>
      </c>
      <c r="Z200" s="278">
        <f t="shared" si="158"/>
        <v>-420000</v>
      </c>
    </row>
    <row r="201" spans="2:26"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2">
        <v>17520000</v>
      </c>
      <c r="T201" s="93" t="s">
        <v>112999</v>
      </c>
      <c r="U201" s="276">
        <v>27624</v>
      </c>
      <c r="V201" s="277">
        <v>11000000</v>
      </c>
      <c r="W201" s="277">
        <f t="shared" si="157"/>
        <v>11000000</v>
      </c>
      <c r="X201" s="344"/>
      <c r="Y201" s="366"/>
      <c r="Z201" s="278">
        <f t="shared" si="158"/>
        <v>-11000000</v>
      </c>
    </row>
    <row r="202" spans="2:26" ht="85.5" customHeight="1" x14ac:dyDescent="0.25">
      <c r="B202" s="84"/>
      <c r="C202" s="85"/>
      <c r="D202" s="85"/>
      <c r="E202" s="85"/>
      <c r="F202" s="85"/>
      <c r="G202" s="85"/>
      <c r="H202" s="85"/>
      <c r="I202" s="85"/>
      <c r="J202" s="86"/>
      <c r="K202" s="86"/>
      <c r="L202" s="87" t="s">
        <v>113118</v>
      </c>
      <c r="M202" s="88" t="s">
        <v>113474</v>
      </c>
      <c r="N202" s="89">
        <v>45544</v>
      </c>
      <c r="O202" s="89" t="s">
        <v>113074</v>
      </c>
      <c r="P202" s="90" t="s">
        <v>113475</v>
      </c>
      <c r="Q202" s="90" t="s">
        <v>113066</v>
      </c>
      <c r="R202" s="91">
        <v>5500000</v>
      </c>
      <c r="S202" s="92"/>
      <c r="T202" s="93" t="s">
        <v>112999</v>
      </c>
      <c r="U202" s="276">
        <v>81624</v>
      </c>
      <c r="V202" s="277">
        <v>5500000</v>
      </c>
      <c r="W202" s="277">
        <f>V202-Y202</f>
        <v>5500000</v>
      </c>
      <c r="X202" s="344"/>
      <c r="Y202" s="366"/>
      <c r="Z202" s="278">
        <f t="shared" si="158"/>
        <v>-5500000</v>
      </c>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92">
        <f t="shared" ref="V203:W203" si="159">SUM(V204:V209)</f>
        <v>44381116.460000001</v>
      </c>
      <c r="W203" s="81">
        <f t="shared" si="159"/>
        <v>14912000</v>
      </c>
      <c r="X203" s="339"/>
      <c r="Y203" s="81">
        <f t="shared" ref="Y203:Z203" si="160">SUM(Y204:Y209)</f>
        <v>29469116.460000001</v>
      </c>
      <c r="Z203" s="81">
        <f t="shared" si="160"/>
        <v>-17442883.539999999</v>
      </c>
    </row>
    <row r="204" spans="2:26" ht="75" x14ac:dyDescent="0.25">
      <c r="B204" s="84"/>
      <c r="C204" s="85"/>
      <c r="D204" s="85"/>
      <c r="E204" s="85"/>
      <c r="F204" s="85"/>
      <c r="G204" s="85"/>
      <c r="H204" s="85"/>
      <c r="I204" s="85"/>
      <c r="J204" s="86"/>
      <c r="K204" s="86" t="s">
        <v>107091</v>
      </c>
      <c r="L204" s="87">
        <v>72154100</v>
      </c>
      <c r="M204" s="88" t="s">
        <v>113244</v>
      </c>
      <c r="N204" s="89"/>
      <c r="O204" s="89"/>
      <c r="P204" s="90"/>
      <c r="Q204" s="89"/>
      <c r="R204" s="91">
        <v>10956000</v>
      </c>
      <c r="S204" s="92"/>
      <c r="T204" s="93" t="s">
        <v>112999</v>
      </c>
      <c r="U204" s="276">
        <v>724</v>
      </c>
      <c r="V204" s="277">
        <v>10680000</v>
      </c>
      <c r="W204" s="277">
        <f t="shared" ref="W204:W209" si="161">V204-Y204</f>
        <v>0</v>
      </c>
      <c r="X204" s="344" t="s">
        <v>113408</v>
      </c>
      <c r="Y204" s="366">
        <v>10680000</v>
      </c>
      <c r="Z204" s="278">
        <f t="shared" ref="Z204:Z209" si="162">Y204-R204</f>
        <v>-276000</v>
      </c>
    </row>
    <row r="205" spans="2:26" ht="47.25" customHeight="1" x14ac:dyDescent="0.25">
      <c r="B205" s="124"/>
      <c r="C205" s="125"/>
      <c r="D205" s="125"/>
      <c r="E205" s="125"/>
      <c r="F205" s="125"/>
      <c r="G205" s="125"/>
      <c r="H205" s="125"/>
      <c r="I205" s="125"/>
      <c r="J205" s="126"/>
      <c r="K205" s="86" t="s">
        <v>107091</v>
      </c>
      <c r="L205" s="87">
        <v>81101713</v>
      </c>
      <c r="M205" s="88" t="s">
        <v>113350</v>
      </c>
      <c r="N205" s="89">
        <v>42933</v>
      </c>
      <c r="O205" s="89" t="s">
        <v>112996</v>
      </c>
      <c r="P205" s="121" t="s">
        <v>112997</v>
      </c>
      <c r="Q205" s="89" t="s">
        <v>113050</v>
      </c>
      <c r="R205" s="94">
        <v>6000000</v>
      </c>
      <c r="S205" s="128"/>
      <c r="T205" s="93" t="s">
        <v>112999</v>
      </c>
      <c r="U205" s="276">
        <v>71424</v>
      </c>
      <c r="V205" s="277">
        <v>6000000</v>
      </c>
      <c r="W205" s="277">
        <f t="shared" si="161"/>
        <v>2430000</v>
      </c>
      <c r="X205" s="344" t="s">
        <v>113490</v>
      </c>
      <c r="Y205" s="366">
        <v>3570000</v>
      </c>
      <c r="Z205" s="278">
        <f t="shared" ref="Z205" si="163">Y205-R205</f>
        <v>-2430000</v>
      </c>
    </row>
    <row r="206" spans="2:26"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6">
        <v>83824</v>
      </c>
      <c r="V206" s="277">
        <v>7000000</v>
      </c>
      <c r="W206" s="277">
        <f t="shared" si="161"/>
        <v>7000000</v>
      </c>
      <c r="X206" s="344"/>
      <c r="Y206" s="366"/>
      <c r="Z206" s="278">
        <f t="shared" si="162"/>
        <v>-7000000</v>
      </c>
    </row>
    <row r="207" spans="2:26"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2">
        <v>11640000</v>
      </c>
      <c r="T207" s="93" t="s">
        <v>112999</v>
      </c>
      <c r="U207" s="276">
        <v>27624</v>
      </c>
      <c r="V207" s="277">
        <f>10956000-3652000-674000</f>
        <v>6630000</v>
      </c>
      <c r="W207" s="277">
        <f t="shared" si="161"/>
        <v>1830000</v>
      </c>
      <c r="X207" s="344" t="s">
        <v>113406</v>
      </c>
      <c r="Y207" s="366">
        <v>4800000</v>
      </c>
      <c r="Z207" s="278">
        <f t="shared" si="162"/>
        <v>-2504000</v>
      </c>
    </row>
    <row r="208" spans="2:26" ht="102" customHeight="1" x14ac:dyDescent="0.25">
      <c r="B208" s="84"/>
      <c r="C208" s="85"/>
      <c r="D208" s="85"/>
      <c r="E208" s="85"/>
      <c r="F208" s="85"/>
      <c r="G208" s="85"/>
      <c r="H208" s="85"/>
      <c r="I208" s="85"/>
      <c r="J208" s="86"/>
      <c r="K208" s="86"/>
      <c r="L208" s="87">
        <v>72154100</v>
      </c>
      <c r="M208" s="88" t="s">
        <v>113476</v>
      </c>
      <c r="N208" s="89">
        <v>45544</v>
      </c>
      <c r="O208" s="89" t="s">
        <v>113074</v>
      </c>
      <c r="P208" s="90" t="s">
        <v>113475</v>
      </c>
      <c r="Q208" s="90" t="s">
        <v>113066</v>
      </c>
      <c r="R208" s="91">
        <v>3652000</v>
      </c>
      <c r="S208" s="92"/>
      <c r="T208" s="93" t="s">
        <v>112999</v>
      </c>
      <c r="U208" s="276">
        <v>81624</v>
      </c>
      <c r="V208" s="277">
        <v>3652000</v>
      </c>
      <c r="W208" s="277">
        <f>V208-Y208</f>
        <v>3652000</v>
      </c>
      <c r="X208" s="344"/>
      <c r="Y208" s="366"/>
      <c r="Z208" s="278">
        <f t="shared" si="162"/>
        <v>-3652000</v>
      </c>
    </row>
    <row r="209" spans="2:26"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80" t="s">
        <v>113343</v>
      </c>
      <c r="V209" s="277">
        <f>9316739.32+1102377.14</f>
        <v>10419116.460000001</v>
      </c>
      <c r="W209" s="277">
        <f t="shared" si="161"/>
        <v>0</v>
      </c>
      <c r="X209" s="344" t="s">
        <v>113451</v>
      </c>
      <c r="Y209" s="277">
        <f>9316739.32+1102377.14</f>
        <v>10419116.460000001</v>
      </c>
      <c r="Z209" s="278">
        <f t="shared" si="162"/>
        <v>-1580883.5399999991</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90">
        <f t="shared" ref="V210:W210" si="164">+V211+V215+V218+V222</f>
        <v>274374854</v>
      </c>
      <c r="W210" s="65">
        <f t="shared" si="164"/>
        <v>75000000</v>
      </c>
      <c r="X210" s="337"/>
      <c r="Y210" s="65">
        <f t="shared" ref="Y210:Z210" si="165">+Y211+Y215+Y218+Y222</f>
        <v>199374854</v>
      </c>
      <c r="Z210" s="65">
        <f t="shared" si="165"/>
        <v>-216911146</v>
      </c>
    </row>
    <row r="211" spans="2:26" ht="22.5" customHeight="1" x14ac:dyDescent="0.25">
      <c r="B211" s="309" t="s">
        <v>105516</v>
      </c>
      <c r="C211" s="309" t="s">
        <v>105573</v>
      </c>
      <c r="D211" s="309" t="s">
        <v>105573</v>
      </c>
      <c r="E211" s="309" t="s">
        <v>105573</v>
      </c>
      <c r="F211" s="309" t="s">
        <v>105556</v>
      </c>
      <c r="G211" s="309" t="s">
        <v>105535</v>
      </c>
      <c r="H211" s="68"/>
      <c r="I211" s="68"/>
      <c r="J211" s="68"/>
      <c r="K211" s="69"/>
      <c r="L211" s="69"/>
      <c r="M211" s="70" t="s">
        <v>107166</v>
      </c>
      <c r="N211" s="71"/>
      <c r="O211" s="71"/>
      <c r="P211" s="72"/>
      <c r="Q211" s="72"/>
      <c r="R211" s="73">
        <f>+R212</f>
        <v>90000000</v>
      </c>
      <c r="S211" s="74"/>
      <c r="T211" s="75"/>
      <c r="U211" s="71" t="s">
        <v>112994</v>
      </c>
      <c r="V211" s="391">
        <f t="shared" ref="V211:W211" si="166">+V212</f>
        <v>69500000</v>
      </c>
      <c r="W211" s="73">
        <f t="shared" si="166"/>
        <v>25000000</v>
      </c>
      <c r="X211" s="338"/>
      <c r="Y211" s="73">
        <f t="shared" ref="Y211:Z211" si="167">+Y212</f>
        <v>44500000</v>
      </c>
      <c r="Z211" s="73">
        <f t="shared" si="167"/>
        <v>-45500000</v>
      </c>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92">
        <f t="shared" ref="V212:W212" si="168">SUM(V213+V214)</f>
        <v>69500000</v>
      </c>
      <c r="W212" s="81">
        <f t="shared" si="168"/>
        <v>25000000</v>
      </c>
      <c r="X212" s="339"/>
      <c r="Y212" s="81">
        <f t="shared" ref="Y212:Z212" si="169">SUM(Y213+Y214)</f>
        <v>44500000</v>
      </c>
      <c r="Z212" s="81">
        <f t="shared" si="169"/>
        <v>-45500000</v>
      </c>
    </row>
    <row r="213" spans="2:26" ht="30" x14ac:dyDescent="0.25">
      <c r="B213" s="84"/>
      <c r="C213" s="85"/>
      <c r="D213" s="85"/>
      <c r="E213" s="85"/>
      <c r="F213" s="85"/>
      <c r="G213" s="85"/>
      <c r="H213" s="85"/>
      <c r="I213" s="85"/>
      <c r="J213" s="86"/>
      <c r="K213" s="86" t="s">
        <v>107165</v>
      </c>
      <c r="L213" s="87" t="s">
        <v>113104</v>
      </c>
      <c r="M213" s="88" t="s">
        <v>113283</v>
      </c>
      <c r="N213" s="89">
        <v>45347</v>
      </c>
      <c r="O213" s="89" t="s">
        <v>113000</v>
      </c>
      <c r="P213" s="90" t="s">
        <v>113003</v>
      </c>
      <c r="Q213" s="90" t="s">
        <v>113051</v>
      </c>
      <c r="R213" s="91">
        <v>50000000</v>
      </c>
      <c r="S213" s="92"/>
      <c r="T213" s="93" t="s">
        <v>113010</v>
      </c>
      <c r="U213" s="276">
        <v>28924</v>
      </c>
      <c r="V213" s="277">
        <v>50000000</v>
      </c>
      <c r="W213" s="277">
        <f>V213-Y213</f>
        <v>25000000</v>
      </c>
      <c r="X213" s="344" t="s">
        <v>113410</v>
      </c>
      <c r="Y213" s="366">
        <v>25000000</v>
      </c>
      <c r="Z213" s="278">
        <f>Y213-R213</f>
        <v>-25000000</v>
      </c>
    </row>
    <row r="214" spans="2:26"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80" t="s">
        <v>113351</v>
      </c>
      <c r="V214" s="277">
        <f>9750000+9750000</f>
        <v>19500000</v>
      </c>
      <c r="W214" s="277">
        <f>V214-Y214</f>
        <v>0</v>
      </c>
      <c r="X214" s="341" t="s">
        <v>113411</v>
      </c>
      <c r="Y214" s="366">
        <v>19500000</v>
      </c>
      <c r="Z214" s="278">
        <f>Y214-R214</f>
        <v>-20500000</v>
      </c>
    </row>
    <row r="215" spans="2:26" ht="30" x14ac:dyDescent="0.25">
      <c r="B215" s="309" t="s">
        <v>105516</v>
      </c>
      <c r="C215" s="309" t="s">
        <v>105573</v>
      </c>
      <c r="D215" s="309" t="s">
        <v>105573</v>
      </c>
      <c r="E215" s="309" t="s">
        <v>105573</v>
      </c>
      <c r="F215" s="309" t="s">
        <v>105556</v>
      </c>
      <c r="G215" s="309" t="s">
        <v>105538</v>
      </c>
      <c r="H215" s="68"/>
      <c r="I215" s="68"/>
      <c r="J215" s="68"/>
      <c r="K215" s="69"/>
      <c r="L215" s="69"/>
      <c r="M215" s="70" t="s">
        <v>107180</v>
      </c>
      <c r="N215" s="71"/>
      <c r="O215" s="71"/>
      <c r="P215" s="72"/>
      <c r="Q215" s="72"/>
      <c r="R215" s="73">
        <f>+R216</f>
        <v>25286000</v>
      </c>
      <c r="S215" s="74"/>
      <c r="T215" s="75"/>
      <c r="U215" s="71" t="s">
        <v>112994</v>
      </c>
      <c r="V215" s="391">
        <f t="shared" ref="V215:W216" si="170">+V216</f>
        <v>25286000</v>
      </c>
      <c r="W215" s="73">
        <f t="shared" si="170"/>
        <v>0</v>
      </c>
      <c r="X215" s="338"/>
      <c r="Y215" s="73">
        <f t="shared" ref="Y215:Z216" si="171">+Y216</f>
        <v>25286000</v>
      </c>
      <c r="Z215" s="73">
        <f t="shared" si="171"/>
        <v>0</v>
      </c>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92">
        <f t="shared" si="170"/>
        <v>25286000</v>
      </c>
      <c r="W216" s="81">
        <f t="shared" si="170"/>
        <v>0</v>
      </c>
      <c r="X216" s="339"/>
      <c r="Y216" s="81">
        <f t="shared" si="171"/>
        <v>25286000</v>
      </c>
      <c r="Z216" s="81">
        <f t="shared" si="171"/>
        <v>0</v>
      </c>
    </row>
    <row r="217" spans="2:26"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6">
        <v>9024</v>
      </c>
      <c r="V217" s="277">
        <f>35000000-9714000</f>
        <v>25286000</v>
      </c>
      <c r="W217" s="277">
        <f>V217-Y217</f>
        <v>0</v>
      </c>
      <c r="X217" s="344" t="s">
        <v>113412</v>
      </c>
      <c r="Y217" s="366">
        <v>25286000</v>
      </c>
      <c r="Z217" s="278">
        <f>Y217-R217</f>
        <v>0</v>
      </c>
    </row>
    <row r="218" spans="2:26" ht="45" x14ac:dyDescent="0.25">
      <c r="B218" s="309" t="s">
        <v>105516</v>
      </c>
      <c r="C218" s="309" t="s">
        <v>105573</v>
      </c>
      <c r="D218" s="309" t="s">
        <v>105573</v>
      </c>
      <c r="E218" s="309" t="s">
        <v>105573</v>
      </c>
      <c r="F218" s="309" t="s">
        <v>105556</v>
      </c>
      <c r="G218" s="309" t="s">
        <v>105541</v>
      </c>
      <c r="H218" s="68"/>
      <c r="I218" s="68"/>
      <c r="J218" s="68"/>
      <c r="K218" s="69"/>
      <c r="L218" s="69"/>
      <c r="M218" s="70" t="s">
        <v>107192</v>
      </c>
      <c r="N218" s="71"/>
      <c r="O218" s="71"/>
      <c r="P218" s="72"/>
      <c r="Q218" s="72"/>
      <c r="R218" s="73">
        <f>+R219</f>
        <v>251000000</v>
      </c>
      <c r="S218" s="74"/>
      <c r="T218" s="75"/>
      <c r="U218" s="71" t="s">
        <v>112994</v>
      </c>
      <c r="V218" s="391">
        <f t="shared" ref="V218:W218" si="172">+V219</f>
        <v>129588854</v>
      </c>
      <c r="W218" s="73">
        <f t="shared" si="172"/>
        <v>0</v>
      </c>
      <c r="X218" s="338"/>
      <c r="Y218" s="73">
        <f t="shared" ref="Y218:Z218" si="173">+Y219</f>
        <v>129588854</v>
      </c>
      <c r="Z218" s="73">
        <f t="shared" si="173"/>
        <v>-121411146</v>
      </c>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93">
        <f t="shared" ref="V219:W219" si="174">SUM(V220+V221)</f>
        <v>129588854</v>
      </c>
      <c r="W219" s="106">
        <f t="shared" si="174"/>
        <v>0</v>
      </c>
      <c r="X219" s="339"/>
      <c r="Y219" s="106">
        <f t="shared" ref="Y219:Z219" si="175">SUM(Y220+Y221)</f>
        <v>129588854</v>
      </c>
      <c r="Z219" s="106">
        <f t="shared" si="175"/>
        <v>-121411146</v>
      </c>
    </row>
    <row r="220" spans="2:26"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6">
        <v>1624</v>
      </c>
      <c r="V220" s="370">
        <v>109588854</v>
      </c>
      <c r="W220" s="277">
        <f>V220-Y220</f>
        <v>0</v>
      </c>
      <c r="X220" s="344" t="s">
        <v>113358</v>
      </c>
      <c r="Y220" s="370">
        <v>109588854</v>
      </c>
      <c r="Z220" s="278">
        <f>Y220-R220</f>
        <v>-121411146</v>
      </c>
    </row>
    <row r="221" spans="2:26"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6">
        <v>32624</v>
      </c>
      <c r="V221" s="277">
        <v>20000000</v>
      </c>
      <c r="W221" s="277">
        <f>V221-Y221</f>
        <v>0</v>
      </c>
      <c r="X221" s="344" t="s">
        <v>113413</v>
      </c>
      <c r="Y221" s="366">
        <v>20000000</v>
      </c>
      <c r="Z221" s="278">
        <f>Y221-R221</f>
        <v>0</v>
      </c>
    </row>
    <row r="222" spans="2:26" x14ac:dyDescent="0.25">
      <c r="B222" s="309" t="s">
        <v>105516</v>
      </c>
      <c r="C222" s="309" t="s">
        <v>105573</v>
      </c>
      <c r="D222" s="309" t="s">
        <v>105573</v>
      </c>
      <c r="E222" s="309" t="s">
        <v>105573</v>
      </c>
      <c r="F222" s="309" t="s">
        <v>105556</v>
      </c>
      <c r="G222" s="309" t="s">
        <v>105547</v>
      </c>
      <c r="H222" s="68"/>
      <c r="I222" s="68"/>
      <c r="J222" s="68"/>
      <c r="K222" s="69"/>
      <c r="L222" s="69"/>
      <c r="M222" s="70" t="s">
        <v>113315</v>
      </c>
      <c r="N222" s="71"/>
      <c r="O222" s="71"/>
      <c r="P222" s="72"/>
      <c r="Q222" s="72"/>
      <c r="R222" s="73">
        <f>+R223</f>
        <v>50000000</v>
      </c>
      <c r="S222" s="74"/>
      <c r="T222" s="75"/>
      <c r="U222" s="71" t="s">
        <v>112994</v>
      </c>
      <c r="V222" s="391">
        <f t="shared" ref="V222:W223" si="176">+V223</f>
        <v>50000000</v>
      </c>
      <c r="W222" s="73">
        <f t="shared" si="176"/>
        <v>50000000</v>
      </c>
      <c r="X222" s="338"/>
      <c r="Y222" s="73">
        <f t="shared" ref="Y222:Z223" si="177">+Y223</f>
        <v>0</v>
      </c>
      <c r="Z222" s="73">
        <f t="shared" si="177"/>
        <v>-50000000</v>
      </c>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92">
        <f t="shared" si="176"/>
        <v>50000000</v>
      </c>
      <c r="W223" s="81">
        <f t="shared" si="176"/>
        <v>50000000</v>
      </c>
      <c r="X223" s="339"/>
      <c r="Y223" s="81">
        <f t="shared" si="177"/>
        <v>0</v>
      </c>
      <c r="Z223" s="81">
        <f t="shared" si="177"/>
        <v>-50000000</v>
      </c>
    </row>
    <row r="224" spans="2:26" ht="30" x14ac:dyDescent="0.25">
      <c r="B224" s="84"/>
      <c r="C224" s="85"/>
      <c r="D224" s="85"/>
      <c r="E224" s="85"/>
      <c r="F224" s="85"/>
      <c r="G224" s="85"/>
      <c r="H224" s="85"/>
      <c r="I224" s="85"/>
      <c r="J224" s="86"/>
      <c r="K224" s="86" t="s">
        <v>107213</v>
      </c>
      <c r="L224" s="51">
        <v>93141500</v>
      </c>
      <c r="M224" s="88" t="s">
        <v>113515</v>
      </c>
      <c r="N224" s="89">
        <v>45580</v>
      </c>
      <c r="O224" s="89" t="s">
        <v>113067</v>
      </c>
      <c r="P224" s="90" t="s">
        <v>113043</v>
      </c>
      <c r="Q224" s="90" t="s">
        <v>113088</v>
      </c>
      <c r="R224" s="94">
        <v>50000000</v>
      </c>
      <c r="S224" s="92"/>
      <c r="T224" s="93" t="s">
        <v>113010</v>
      </c>
      <c r="U224" s="276">
        <v>58224</v>
      </c>
      <c r="V224" s="277">
        <v>50000000</v>
      </c>
      <c r="W224" s="277">
        <f>V224-Y224</f>
        <v>50000000</v>
      </c>
      <c r="X224" s="344"/>
      <c r="Y224" s="366"/>
      <c r="Z224" s="278">
        <f>Y224-R224</f>
        <v>-50000000</v>
      </c>
    </row>
    <row r="225" spans="2:26" x14ac:dyDescent="0.25">
      <c r="B225" s="309" t="s">
        <v>105516</v>
      </c>
      <c r="C225" s="309" t="s">
        <v>105573</v>
      </c>
      <c r="D225" s="309" t="s">
        <v>105573</v>
      </c>
      <c r="E225" s="309" t="s">
        <v>105573</v>
      </c>
      <c r="F225" s="309" t="s">
        <v>105559</v>
      </c>
      <c r="G225" s="68"/>
      <c r="H225" s="68"/>
      <c r="I225" s="68"/>
      <c r="J225" s="68"/>
      <c r="K225" s="69"/>
      <c r="L225" s="69"/>
      <c r="M225" s="70" t="s">
        <v>105564</v>
      </c>
      <c r="N225" s="71"/>
      <c r="O225" s="71"/>
      <c r="P225" s="72"/>
      <c r="Q225" s="72"/>
      <c r="R225" s="73">
        <f>+R226</f>
        <v>69000000</v>
      </c>
      <c r="S225" s="74"/>
      <c r="T225" s="75"/>
      <c r="U225" s="71" t="s">
        <v>112994</v>
      </c>
      <c r="V225" s="391">
        <f t="shared" ref="V225:W225" si="178">+V226</f>
        <v>69000000</v>
      </c>
      <c r="W225" s="73">
        <f t="shared" si="178"/>
        <v>25778582</v>
      </c>
      <c r="X225" s="338"/>
      <c r="Y225" s="73">
        <f t="shared" ref="Y225:Z225" si="179">+Y226</f>
        <v>43221418</v>
      </c>
      <c r="Z225" s="73">
        <f t="shared" si="179"/>
        <v>-25778582</v>
      </c>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6">
        <v>9124</v>
      </c>
      <c r="V226" s="277">
        <f>50000000+19000000</f>
        <v>69000000</v>
      </c>
      <c r="W226" s="277">
        <f>V226-Y226</f>
        <v>25778582</v>
      </c>
      <c r="X226" s="344"/>
      <c r="Y226" s="366">
        <v>43221418</v>
      </c>
      <c r="Z226" s="278">
        <f>Y226-R226</f>
        <v>-25778582</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95">
        <f t="shared" ref="V227:Z227" si="180">+V228</f>
        <v>12775248737.236668</v>
      </c>
      <c r="W227" s="134">
        <f t="shared" si="180"/>
        <v>2138574869.8766668</v>
      </c>
      <c r="X227" s="134"/>
      <c r="Y227" s="134">
        <f t="shared" si="180"/>
        <v>10636673867.359999</v>
      </c>
      <c r="Z227" s="134">
        <f t="shared" si="180"/>
        <v>-2459326132.6399999</v>
      </c>
    </row>
    <row r="228" spans="2:26"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96">
        <f t="shared" ref="V228:Z228" si="181">+V229+V256</f>
        <v>12775248737.236668</v>
      </c>
      <c r="W228" s="141">
        <f t="shared" si="181"/>
        <v>2138574869.8766668</v>
      </c>
      <c r="X228" s="141"/>
      <c r="Y228" s="141">
        <f t="shared" si="181"/>
        <v>10636673867.359999</v>
      </c>
      <c r="Z228" s="141">
        <f t="shared" si="181"/>
        <v>-2459326132.6399999</v>
      </c>
    </row>
    <row r="229" spans="2:26"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97">
        <f t="shared" ref="V229:Z229" si="182">+V230+V250</f>
        <v>948483596.30999994</v>
      </c>
      <c r="W229" s="147">
        <f t="shared" si="182"/>
        <v>346391200</v>
      </c>
      <c r="X229" s="147"/>
      <c r="Y229" s="147">
        <f t="shared" si="182"/>
        <v>602092396.30999994</v>
      </c>
      <c r="Z229" s="147">
        <f t="shared" si="182"/>
        <v>-390667603.69</v>
      </c>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90">
        <f t="shared" ref="V230:W230" si="183">+V231+V234+V237+V241+V247</f>
        <v>695644936.50999999</v>
      </c>
      <c r="W230" s="65">
        <f t="shared" si="183"/>
        <v>93552540.200000003</v>
      </c>
      <c r="X230" s="337"/>
      <c r="Y230" s="65">
        <f t="shared" ref="Y230:Z230" si="184">+Y231+Y234+Y237+Y241+Y247</f>
        <v>602092396.30999994</v>
      </c>
      <c r="Z230" s="65">
        <f t="shared" si="184"/>
        <v>-105068943.89</v>
      </c>
    </row>
    <row r="231" spans="2:26" ht="30" x14ac:dyDescent="0.25">
      <c r="B231" s="309" t="s">
        <v>105516</v>
      </c>
      <c r="C231" s="309" t="s">
        <v>105924</v>
      </c>
      <c r="D231" s="309" t="s">
        <v>105520</v>
      </c>
      <c r="E231" s="309" t="s">
        <v>105520</v>
      </c>
      <c r="F231" s="309" t="s">
        <v>105538</v>
      </c>
      <c r="G231" s="309" t="s">
        <v>105535</v>
      </c>
      <c r="H231" s="148"/>
      <c r="I231" s="148"/>
      <c r="J231" s="148"/>
      <c r="K231" s="149"/>
      <c r="L231" s="149"/>
      <c r="M231" s="150" t="s">
        <v>113311</v>
      </c>
      <c r="N231" s="151"/>
      <c r="O231" s="151"/>
      <c r="P231" s="152"/>
      <c r="Q231" s="152"/>
      <c r="R231" s="153">
        <f>+R232</f>
        <v>25000000</v>
      </c>
      <c r="S231" s="153"/>
      <c r="T231" s="153"/>
      <c r="U231" s="153"/>
      <c r="V231" s="398">
        <f t="shared" ref="V231:Z231" si="185">+V232</f>
        <v>25000000</v>
      </c>
      <c r="W231" s="153">
        <f t="shared" si="185"/>
        <v>0</v>
      </c>
      <c r="X231" s="153"/>
      <c r="Y231" s="153">
        <f t="shared" si="185"/>
        <v>25000000</v>
      </c>
      <c r="Z231" s="153">
        <f t="shared" si="185"/>
        <v>0</v>
      </c>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92">
        <f t="shared" ref="V232:W232" si="186">+V233</f>
        <v>25000000</v>
      </c>
      <c r="W232" s="81">
        <f t="shared" si="186"/>
        <v>0</v>
      </c>
      <c r="X232" s="339"/>
      <c r="Y232" s="81">
        <f t="shared" ref="Y232:Z232" si="187">+Y233</f>
        <v>25000000</v>
      </c>
      <c r="Z232" s="81">
        <f t="shared" si="187"/>
        <v>0</v>
      </c>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6">
        <v>30224</v>
      </c>
      <c r="V233" s="277">
        <v>25000000</v>
      </c>
      <c r="W233" s="277">
        <f>V233-Y233</f>
        <v>0</v>
      </c>
      <c r="X233" s="344" t="s">
        <v>113362</v>
      </c>
      <c r="Y233" s="366">
        <v>25000000</v>
      </c>
      <c r="Z233" s="278">
        <f>Y233-R233</f>
        <v>0</v>
      </c>
    </row>
    <row r="234" spans="2:26" ht="30" x14ac:dyDescent="0.25">
      <c r="B234" s="309" t="s">
        <v>105516</v>
      </c>
      <c r="C234" s="309" t="s">
        <v>105924</v>
      </c>
      <c r="D234" s="309" t="s">
        <v>105520</v>
      </c>
      <c r="E234" s="309" t="s">
        <v>105520</v>
      </c>
      <c r="F234" s="309" t="s">
        <v>105538</v>
      </c>
      <c r="G234" s="309" t="s">
        <v>105538</v>
      </c>
      <c r="H234" s="148"/>
      <c r="I234" s="148"/>
      <c r="J234" s="148"/>
      <c r="K234" s="149"/>
      <c r="L234" s="149"/>
      <c r="M234" s="150" t="s">
        <v>106611</v>
      </c>
      <c r="N234" s="151"/>
      <c r="O234" s="151"/>
      <c r="P234" s="152"/>
      <c r="Q234" s="152"/>
      <c r="R234" s="153">
        <f>+R235</f>
        <v>150000000</v>
      </c>
      <c r="S234" s="153"/>
      <c r="T234" s="153"/>
      <c r="U234" s="153"/>
      <c r="V234" s="398">
        <f t="shared" ref="V234:Z234" si="188">+V235</f>
        <v>150000000</v>
      </c>
      <c r="W234" s="153">
        <f t="shared" si="188"/>
        <v>3150000</v>
      </c>
      <c r="X234" s="153"/>
      <c r="Y234" s="153">
        <f t="shared" si="188"/>
        <v>146850000</v>
      </c>
      <c r="Z234" s="153">
        <f t="shared" si="188"/>
        <v>-3150000</v>
      </c>
    </row>
    <row r="235" spans="2:26" ht="75"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92">
        <f t="shared" ref="V235:W235" si="189">+V236</f>
        <v>150000000</v>
      </c>
      <c r="W235" s="81">
        <f t="shared" si="189"/>
        <v>3150000</v>
      </c>
      <c r="X235" s="339"/>
      <c r="Y235" s="81">
        <f t="shared" ref="Y235:Z235" si="190">+Y236</f>
        <v>146850000</v>
      </c>
      <c r="Z235" s="81">
        <f t="shared" si="190"/>
        <v>-3150000</v>
      </c>
    </row>
    <row r="236" spans="2:26"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6">
        <v>32724</v>
      </c>
      <c r="V236" s="277">
        <v>150000000</v>
      </c>
      <c r="W236" s="277">
        <f>V236-Y236</f>
        <v>3150000</v>
      </c>
      <c r="X236" s="344" t="s">
        <v>113414</v>
      </c>
      <c r="Y236" s="366">
        <v>146850000</v>
      </c>
      <c r="Z236" s="278">
        <f>Y236-R236</f>
        <v>-3150000</v>
      </c>
    </row>
    <row r="237" spans="2:26" ht="34.5" customHeight="1" x14ac:dyDescent="0.25">
      <c r="B237" s="309" t="s">
        <v>105516</v>
      </c>
      <c r="C237" s="309" t="s">
        <v>105924</v>
      </c>
      <c r="D237" s="309" t="s">
        <v>105520</v>
      </c>
      <c r="E237" s="309" t="s">
        <v>105520</v>
      </c>
      <c r="F237" s="309" t="s">
        <v>105538</v>
      </c>
      <c r="G237" s="312" t="s">
        <v>105544</v>
      </c>
      <c r="H237" s="148"/>
      <c r="I237" s="148"/>
      <c r="J237" s="148"/>
      <c r="K237" s="149"/>
      <c r="L237" s="149"/>
      <c r="M237" s="150" t="s">
        <v>106645</v>
      </c>
      <c r="N237" s="151"/>
      <c r="O237" s="151"/>
      <c r="P237" s="152"/>
      <c r="Q237" s="152"/>
      <c r="R237" s="153">
        <f>+R238</f>
        <v>45000000</v>
      </c>
      <c r="S237" s="153"/>
      <c r="T237" s="153"/>
      <c r="U237" s="153"/>
      <c r="V237" s="398">
        <f t="shared" ref="V237:Z237" si="191">+V238</f>
        <v>33483596.310000002</v>
      </c>
      <c r="W237" s="153">
        <f t="shared" si="191"/>
        <v>0</v>
      </c>
      <c r="X237" s="153"/>
      <c r="Y237" s="153">
        <f t="shared" si="191"/>
        <v>33483596.310000002</v>
      </c>
      <c r="Z237" s="153">
        <f t="shared" si="191"/>
        <v>-11516403.689999999</v>
      </c>
    </row>
    <row r="238" spans="2:26"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92">
        <f t="shared" ref="V238:W238" si="192">SUM(V239:V240)</f>
        <v>33483596.310000002</v>
      </c>
      <c r="W238" s="81">
        <f t="shared" si="192"/>
        <v>0</v>
      </c>
      <c r="X238" s="339"/>
      <c r="Y238" s="81">
        <f t="shared" ref="Y238:Z238" si="193">SUM(Y239:Y240)</f>
        <v>33483596.310000002</v>
      </c>
      <c r="Z238" s="81">
        <f t="shared" si="193"/>
        <v>-11516403.689999999</v>
      </c>
    </row>
    <row r="239" spans="2:26"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6">
        <v>42024</v>
      </c>
      <c r="V239" s="277">
        <f>20000000-11516403.69</f>
        <v>8483596.3100000005</v>
      </c>
      <c r="W239" s="277">
        <f t="shared" ref="W239:W240" si="194">V239-Y239</f>
        <v>0</v>
      </c>
      <c r="X239" s="344" t="s">
        <v>113458</v>
      </c>
      <c r="Y239" s="366">
        <v>8483596.3100000005</v>
      </c>
      <c r="Z239" s="278">
        <f t="shared" ref="Z239:Z240" si="195">Y239-R239</f>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113274</v>
      </c>
      <c r="R240" s="91">
        <v>25000000</v>
      </c>
      <c r="S240" s="92"/>
      <c r="T240" s="93" t="s">
        <v>113027</v>
      </c>
      <c r="U240" s="276">
        <v>30224</v>
      </c>
      <c r="V240" s="277">
        <v>25000000</v>
      </c>
      <c r="W240" s="277">
        <f t="shared" si="194"/>
        <v>0</v>
      </c>
      <c r="X240" s="344" t="s">
        <v>113362</v>
      </c>
      <c r="Y240" s="366">
        <v>25000000</v>
      </c>
      <c r="Z240" s="278">
        <f t="shared" si="195"/>
        <v>0</v>
      </c>
    </row>
    <row r="241" spans="1:26" x14ac:dyDescent="0.25">
      <c r="B241" s="309" t="s">
        <v>105516</v>
      </c>
      <c r="C241" s="309" t="s">
        <v>105924</v>
      </c>
      <c r="D241" s="309" t="s">
        <v>105520</v>
      </c>
      <c r="E241" s="309" t="s">
        <v>105520</v>
      </c>
      <c r="F241" s="309" t="s">
        <v>105538</v>
      </c>
      <c r="G241" s="312" t="s">
        <v>105547</v>
      </c>
      <c r="H241" s="148"/>
      <c r="I241" s="148"/>
      <c r="J241" s="148"/>
      <c r="K241" s="149"/>
      <c r="L241" s="149"/>
      <c r="M241" s="150" t="s">
        <v>106657</v>
      </c>
      <c r="N241" s="151"/>
      <c r="O241" s="151"/>
      <c r="P241" s="152"/>
      <c r="Q241" s="152"/>
      <c r="R241" s="153">
        <f>+R242+R245</f>
        <v>287161340.19999999</v>
      </c>
      <c r="S241" s="153"/>
      <c r="T241" s="153"/>
      <c r="U241" s="153"/>
      <c r="V241" s="398">
        <f t="shared" ref="V241:Y241" si="196">+V242+V245</f>
        <v>287161340.19999999</v>
      </c>
      <c r="W241" s="153">
        <f t="shared" si="196"/>
        <v>90402540.200000003</v>
      </c>
      <c r="X241" s="153"/>
      <c r="Y241" s="153">
        <f t="shared" si="196"/>
        <v>196758800</v>
      </c>
      <c r="Z241" s="153">
        <f>+Z242+Z245</f>
        <v>-90402540.200000003</v>
      </c>
    </row>
    <row r="242" spans="1:26"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92">
        <f t="shared" ref="V242:W242" si="197">SUM(V243:V244)</f>
        <v>87161340.200000003</v>
      </c>
      <c r="W242" s="81">
        <f t="shared" si="197"/>
        <v>87161340.200000003</v>
      </c>
      <c r="X242" s="339"/>
      <c r="Y242" s="81">
        <f t="shared" ref="Y242:Z242" si="198">SUM(Y243:Y244)</f>
        <v>0</v>
      </c>
      <c r="Z242" s="81">
        <f t="shared" si="198"/>
        <v>-87161340.200000003</v>
      </c>
    </row>
    <row r="243" spans="1:26"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6">
        <v>79024</v>
      </c>
      <c r="V243" s="277">
        <v>52161340.200000003</v>
      </c>
      <c r="W243" s="277">
        <f t="shared" ref="W243:W244" si="199">V243-Y243</f>
        <v>52161340.200000003</v>
      </c>
      <c r="X243" s="344"/>
      <c r="Y243" s="366"/>
      <c r="Z243" s="278">
        <f t="shared" ref="Z243:Z244" si="200">Y243-R243</f>
        <v>-52161340.200000003</v>
      </c>
    </row>
    <row r="244" spans="1:26" ht="150" x14ac:dyDescent="0.25">
      <c r="B244" s="124"/>
      <c r="C244" s="125"/>
      <c r="D244" s="125"/>
      <c r="E244" s="125"/>
      <c r="F244" s="125"/>
      <c r="G244" s="125"/>
      <c r="H244" s="125"/>
      <c r="I244" s="125"/>
      <c r="J244" s="126"/>
      <c r="K244" s="86" t="s">
        <v>112210</v>
      </c>
      <c r="L244" s="156" t="s">
        <v>113510</v>
      </c>
      <c r="M244" s="97" t="s">
        <v>113112</v>
      </c>
      <c r="N244" s="89">
        <v>45536</v>
      </c>
      <c r="O244" s="89" t="s">
        <v>113074</v>
      </c>
      <c r="P244" s="90" t="s">
        <v>112997</v>
      </c>
      <c r="Q244" s="90" t="s">
        <v>113050</v>
      </c>
      <c r="R244" s="91">
        <v>35000000</v>
      </c>
      <c r="S244" s="92"/>
      <c r="T244" s="93" t="s">
        <v>113017</v>
      </c>
      <c r="U244" s="276">
        <v>81524</v>
      </c>
      <c r="V244" s="277">
        <v>35000000</v>
      </c>
      <c r="W244" s="277">
        <f t="shared" si="199"/>
        <v>35000000</v>
      </c>
      <c r="X244" s="344"/>
      <c r="Y244" s="366"/>
      <c r="Z244" s="278">
        <f t="shared" si="200"/>
        <v>-35000000</v>
      </c>
    </row>
    <row r="245" spans="1:26"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92">
        <f t="shared" ref="V245:W245" si="201">+V246</f>
        <v>200000000</v>
      </c>
      <c r="W245" s="81">
        <f t="shared" si="201"/>
        <v>3241200</v>
      </c>
      <c r="X245" s="339"/>
      <c r="Y245" s="81">
        <f t="shared" ref="Y245:Z245" si="202">+Y246</f>
        <v>196758800</v>
      </c>
      <c r="Z245" s="81">
        <f t="shared" si="202"/>
        <v>-3241200</v>
      </c>
    </row>
    <row r="246" spans="1:26"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6">
        <v>41924</v>
      </c>
      <c r="V246" s="277">
        <v>200000000</v>
      </c>
      <c r="W246" s="277">
        <f>V246-Y246</f>
        <v>3241200</v>
      </c>
      <c r="X246" s="344" t="s">
        <v>113415</v>
      </c>
      <c r="Y246" s="366">
        <v>196758800</v>
      </c>
      <c r="Z246" s="278">
        <f>Y246-R246</f>
        <v>-3241200</v>
      </c>
    </row>
    <row r="247" spans="1:26" ht="30" x14ac:dyDescent="0.25">
      <c r="B247" s="309" t="s">
        <v>105516</v>
      </c>
      <c r="C247" s="309" t="s">
        <v>105924</v>
      </c>
      <c r="D247" s="309" t="s">
        <v>105520</v>
      </c>
      <c r="E247" s="309" t="s">
        <v>105520</v>
      </c>
      <c r="F247" s="309" t="s">
        <v>105538</v>
      </c>
      <c r="G247" s="309" t="s">
        <v>105550</v>
      </c>
      <c r="H247" s="148"/>
      <c r="I247" s="148"/>
      <c r="J247" s="148"/>
      <c r="K247" s="149"/>
      <c r="L247" s="149"/>
      <c r="M247" s="150" t="s">
        <v>106669</v>
      </c>
      <c r="N247" s="151"/>
      <c r="O247" s="151"/>
      <c r="P247" s="152"/>
      <c r="Q247" s="152"/>
      <c r="R247" s="153">
        <f>+R248</f>
        <v>200000000</v>
      </c>
      <c r="S247" s="153"/>
      <c r="T247" s="153"/>
      <c r="U247" s="153"/>
      <c r="V247" s="398">
        <f t="shared" ref="V247:Z247" si="203">+V248</f>
        <v>200000000</v>
      </c>
      <c r="W247" s="153">
        <f t="shared" si="203"/>
        <v>0</v>
      </c>
      <c r="X247" s="153"/>
      <c r="Y247" s="153">
        <f t="shared" si="203"/>
        <v>200000000</v>
      </c>
      <c r="Z247" s="153">
        <f t="shared" si="203"/>
        <v>0</v>
      </c>
    </row>
    <row r="248" spans="1:26"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92">
        <f t="shared" ref="V248:W248" si="204">+V249</f>
        <v>200000000</v>
      </c>
      <c r="W248" s="81">
        <f t="shared" si="204"/>
        <v>0</v>
      </c>
      <c r="X248" s="339"/>
      <c r="Y248" s="81">
        <f t="shared" ref="Y248:Z248" si="205">+Y249</f>
        <v>200000000</v>
      </c>
      <c r="Z248" s="81">
        <f t="shared" si="205"/>
        <v>0</v>
      </c>
    </row>
    <row r="249" spans="1:26"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6">
        <v>15324</v>
      </c>
      <c r="V249" s="277">
        <v>200000000</v>
      </c>
      <c r="W249" s="277">
        <f>V249-Y249</f>
        <v>0</v>
      </c>
      <c r="X249" s="344" t="s">
        <v>113452</v>
      </c>
      <c r="Y249" s="366">
        <v>200000000</v>
      </c>
      <c r="Z249" s="278">
        <f>Y249-R249</f>
        <v>0</v>
      </c>
    </row>
    <row r="250" spans="1:26"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90">
        <f t="shared" ref="V250:W250" si="206">+V251+V254</f>
        <v>252838659.80000001</v>
      </c>
      <c r="W250" s="65">
        <f t="shared" si="206"/>
        <v>252838659.80000001</v>
      </c>
      <c r="X250" s="337"/>
      <c r="Y250" s="65">
        <f t="shared" ref="Y250:Z250" si="207">+Y251+Y254</f>
        <v>0</v>
      </c>
      <c r="Z250" s="65">
        <f t="shared" si="207"/>
        <v>-285598659.80000001</v>
      </c>
    </row>
    <row r="251" spans="1:26" ht="30" x14ac:dyDescent="0.25">
      <c r="B251" s="309" t="s">
        <v>105516</v>
      </c>
      <c r="C251" s="309" t="s">
        <v>105924</v>
      </c>
      <c r="D251" s="309" t="s">
        <v>105520</v>
      </c>
      <c r="E251" s="309" t="s">
        <v>105520</v>
      </c>
      <c r="F251" s="309" t="s">
        <v>105541</v>
      </c>
      <c r="G251" s="309" t="s">
        <v>105535</v>
      </c>
      <c r="H251" s="148"/>
      <c r="I251" s="148"/>
      <c r="J251" s="148"/>
      <c r="K251" s="149"/>
      <c r="L251" s="149"/>
      <c r="M251" s="150" t="s">
        <v>106709</v>
      </c>
      <c r="N251" s="151"/>
      <c r="O251" s="151"/>
      <c r="P251" s="152"/>
      <c r="Q251" s="152"/>
      <c r="R251" s="153">
        <f>+R252+R253</f>
        <v>252838659.80000001</v>
      </c>
      <c r="S251" s="153"/>
      <c r="T251" s="153"/>
      <c r="U251" s="153"/>
      <c r="V251" s="398">
        <f t="shared" ref="V251:Z251" si="208">+V252+V253</f>
        <v>252838659.80000001</v>
      </c>
      <c r="W251" s="153">
        <f t="shared" si="208"/>
        <v>252838659.80000001</v>
      </c>
      <c r="X251" s="153"/>
      <c r="Y251" s="153">
        <f t="shared" si="208"/>
        <v>0</v>
      </c>
      <c r="Z251" s="153">
        <f t="shared" si="208"/>
        <v>-252838659.80000001</v>
      </c>
    </row>
    <row r="252" spans="1:26" ht="51.75" customHeight="1" x14ac:dyDescent="0.25">
      <c r="B252" s="84"/>
      <c r="C252" s="85"/>
      <c r="D252" s="85"/>
      <c r="E252" s="85"/>
      <c r="F252" s="85"/>
      <c r="G252" s="85"/>
      <c r="H252" s="85"/>
      <c r="I252" s="85"/>
      <c r="J252" s="86"/>
      <c r="K252" s="86" t="s">
        <v>112244</v>
      </c>
      <c r="L252" s="156" t="s">
        <v>113333</v>
      </c>
      <c r="M252" s="97" t="s">
        <v>113332</v>
      </c>
      <c r="N252" s="89">
        <v>45474</v>
      </c>
      <c r="O252" s="89" t="s">
        <v>112996</v>
      </c>
      <c r="P252" s="90" t="s">
        <v>113005</v>
      </c>
      <c r="Q252" s="90" t="s">
        <v>112998</v>
      </c>
      <c r="R252" s="91">
        <v>185000000</v>
      </c>
      <c r="S252" s="92"/>
      <c r="T252" s="93" t="s">
        <v>113017</v>
      </c>
      <c r="U252" s="276">
        <v>81224</v>
      </c>
      <c r="V252" s="277">
        <v>185000000</v>
      </c>
      <c r="W252" s="277">
        <f t="shared" ref="W252:W253" si="209">V252-Y252</f>
        <v>185000000</v>
      </c>
      <c r="X252" s="344"/>
      <c r="Y252" s="366"/>
      <c r="Z252" s="278">
        <f>Y252-R252</f>
        <v>-185000000</v>
      </c>
    </row>
    <row r="253" spans="1:26" ht="75" x14ac:dyDescent="0.25">
      <c r="B253" s="84"/>
      <c r="C253" s="85"/>
      <c r="D253" s="85"/>
      <c r="E253" s="85"/>
      <c r="F253" s="85"/>
      <c r="G253" s="85"/>
      <c r="H253" s="85"/>
      <c r="I253" s="85"/>
      <c r="J253" s="86"/>
      <c r="K253" s="86"/>
      <c r="L253" s="156" t="s">
        <v>113466</v>
      </c>
      <c r="M253" s="97" t="s">
        <v>113467</v>
      </c>
      <c r="N253" s="89">
        <v>45536</v>
      </c>
      <c r="O253" s="89" t="s">
        <v>113074</v>
      </c>
      <c r="P253" s="90" t="s">
        <v>113005</v>
      </c>
      <c r="Q253" s="90" t="s">
        <v>113006</v>
      </c>
      <c r="R253" s="91">
        <f>80000000-12161340.2</f>
        <v>67838659.799999997</v>
      </c>
      <c r="S253" s="92"/>
      <c r="T253" s="93" t="s">
        <v>113017</v>
      </c>
      <c r="U253" s="276">
        <v>79024</v>
      </c>
      <c r="V253" s="277">
        <f>80000000-12161340.2</f>
        <v>67838659.799999997</v>
      </c>
      <c r="W253" s="277">
        <f t="shared" si="209"/>
        <v>67838659.799999997</v>
      </c>
      <c r="X253" s="344"/>
      <c r="Y253" s="366"/>
      <c r="Z253" s="278">
        <f>Y253-R253</f>
        <v>-67838659.799999997</v>
      </c>
    </row>
    <row r="254" spans="1:26" s="298" customFormat="1" x14ac:dyDescent="0.25">
      <c r="A254" s="297"/>
      <c r="B254" s="309" t="s">
        <v>105516</v>
      </c>
      <c r="C254" s="309" t="s">
        <v>105924</v>
      </c>
      <c r="D254" s="309" t="s">
        <v>105520</v>
      </c>
      <c r="E254" s="309" t="s">
        <v>105520</v>
      </c>
      <c r="F254" s="309" t="s">
        <v>105541</v>
      </c>
      <c r="G254" s="311" t="s">
        <v>105547</v>
      </c>
      <c r="H254" s="148"/>
      <c r="I254" s="148"/>
      <c r="J254" s="148"/>
      <c r="K254" s="149"/>
      <c r="L254" s="149"/>
      <c r="M254" s="150" t="s">
        <v>106270</v>
      </c>
      <c r="N254" s="151"/>
      <c r="O254" s="151"/>
      <c r="P254" s="152"/>
      <c r="Q254" s="152"/>
      <c r="R254" s="153">
        <f>R255</f>
        <v>32760000</v>
      </c>
      <c r="S254" s="153"/>
      <c r="T254" s="153" t="str">
        <f t="shared" ref="T254:Z254" si="210">T255</f>
        <v>MANTENIMIENTO</v>
      </c>
      <c r="U254" s="153"/>
      <c r="V254" s="398">
        <f t="shared" si="210"/>
        <v>0</v>
      </c>
      <c r="W254" s="153">
        <f t="shared" si="210"/>
        <v>0</v>
      </c>
      <c r="X254" s="153"/>
      <c r="Y254" s="153">
        <f t="shared" si="210"/>
        <v>0</v>
      </c>
      <c r="Z254" s="153">
        <f t="shared" si="210"/>
        <v>-32760000</v>
      </c>
    </row>
    <row r="255" spans="1:26"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9"/>
      <c r="V255" s="277"/>
      <c r="W255" s="277">
        <f>V255-Y255</f>
        <v>0</v>
      </c>
      <c r="X255" s="344"/>
      <c r="Y255" s="366"/>
      <c r="Z255" s="278">
        <f>Y255-R255</f>
        <v>-32760000</v>
      </c>
    </row>
    <row r="256" spans="1:26"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97">
        <f t="shared" ref="V256:Z256" si="211">SUM(V257+V283+V287+V299+V332)</f>
        <v>11826765140.926668</v>
      </c>
      <c r="W256" s="147">
        <f t="shared" si="211"/>
        <v>1792183669.8766668</v>
      </c>
      <c r="X256" s="147"/>
      <c r="Y256" s="147">
        <f t="shared" si="211"/>
        <v>10034581471.049999</v>
      </c>
      <c r="Z256" s="147">
        <f t="shared" si="211"/>
        <v>-2068658528.9499998</v>
      </c>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8544310773</v>
      </c>
      <c r="S257" s="65"/>
      <c r="T257" s="65"/>
      <c r="U257" s="65"/>
      <c r="V257" s="390">
        <f t="shared" ref="V257:Z257" si="212">+V258</f>
        <v>8350548626.666667</v>
      </c>
      <c r="W257" s="65">
        <f t="shared" si="212"/>
        <v>495699997.66666669</v>
      </c>
      <c r="X257" s="65"/>
      <c r="Y257" s="65">
        <f t="shared" si="212"/>
        <v>7854848629</v>
      </c>
      <c r="Z257" s="65">
        <f t="shared" si="212"/>
        <v>-689462144</v>
      </c>
    </row>
    <row r="258" spans="2:26" x14ac:dyDescent="0.25">
      <c r="B258" s="309" t="s">
        <v>105516</v>
      </c>
      <c r="C258" s="309" t="s">
        <v>105924</v>
      </c>
      <c r="D258" s="309" t="s">
        <v>105520</v>
      </c>
      <c r="E258" s="309" t="s">
        <v>105573</v>
      </c>
      <c r="F258" s="309" t="s">
        <v>105544</v>
      </c>
      <c r="G258" s="309" t="s">
        <v>105541</v>
      </c>
      <c r="H258" s="148"/>
      <c r="I258" s="148"/>
      <c r="J258" s="148"/>
      <c r="K258" s="149"/>
      <c r="L258" s="149"/>
      <c r="M258" s="158" t="s">
        <v>106781</v>
      </c>
      <c r="N258" s="151"/>
      <c r="O258" s="151"/>
      <c r="P258" s="152"/>
      <c r="Q258" s="152"/>
      <c r="R258" s="153">
        <f>+R259+R270+R276</f>
        <v>8544310773</v>
      </c>
      <c r="S258" s="153"/>
      <c r="T258" s="153"/>
      <c r="U258" s="153"/>
      <c r="V258" s="398">
        <f t="shared" ref="V258:Z258" si="213">+V259+V270+V276</f>
        <v>8350548626.666667</v>
      </c>
      <c r="W258" s="153">
        <f t="shared" si="213"/>
        <v>495699997.66666669</v>
      </c>
      <c r="X258" s="153"/>
      <c r="Y258" s="153">
        <f t="shared" si="213"/>
        <v>7854848629</v>
      </c>
      <c r="Z258" s="153">
        <f t="shared" si="213"/>
        <v>-689462144</v>
      </c>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7015710773</v>
      </c>
      <c r="S259" s="82"/>
      <c r="T259" s="96"/>
      <c r="U259" s="79"/>
      <c r="V259" s="392">
        <f t="shared" ref="V259:W259" si="214">SUM(V260:V269)</f>
        <v>6787048626.666667</v>
      </c>
      <c r="W259" s="81">
        <f t="shared" si="214"/>
        <v>259066666.66666669</v>
      </c>
      <c r="X259" s="339"/>
      <c r="Y259" s="81">
        <f t="shared" ref="Y259:Z259" si="215">SUM(Y260:Y269)</f>
        <v>6527981960</v>
      </c>
      <c r="Z259" s="81">
        <f t="shared" si="215"/>
        <v>-487728812.99999994</v>
      </c>
    </row>
    <row r="260" spans="2:26" ht="58.5" customHeight="1" x14ac:dyDescent="0.25">
      <c r="B260" s="84"/>
      <c r="C260" s="85"/>
      <c r="D260" s="85"/>
      <c r="E260" s="85"/>
      <c r="F260" s="85"/>
      <c r="G260" s="85"/>
      <c r="H260" s="85"/>
      <c r="I260" s="85"/>
      <c r="J260" s="86"/>
      <c r="K260" s="86" t="s">
        <v>112301</v>
      </c>
      <c r="L260" s="87" t="s">
        <v>113117</v>
      </c>
      <c r="M260" s="88" t="s">
        <v>113216</v>
      </c>
      <c r="N260" s="89">
        <v>45306</v>
      </c>
      <c r="O260" s="89" t="s">
        <v>113057</v>
      </c>
      <c r="P260" s="90" t="s">
        <v>113020</v>
      </c>
      <c r="Q260" s="90" t="s">
        <v>113116</v>
      </c>
      <c r="R260" s="91">
        <f>3000000000+2700000000+303699713-12300000-76541866.67-880900</f>
        <v>5913976946.3299999</v>
      </c>
      <c r="S260" s="119"/>
      <c r="T260" s="93" t="s">
        <v>112999</v>
      </c>
      <c r="U260" s="276">
        <v>16724</v>
      </c>
      <c r="V260" s="277">
        <v>5700000000</v>
      </c>
      <c r="W260" s="277">
        <f t="shared" ref="W260:W282" si="216">V260-Y260</f>
        <v>0</v>
      </c>
      <c r="X260" s="344" t="s">
        <v>113417</v>
      </c>
      <c r="Y260" s="366">
        <f>4702080000+912560000+85360000</f>
        <v>5700000000</v>
      </c>
      <c r="Z260" s="278">
        <f t="shared" ref="Z260:Z269" si="217">Y260-R260</f>
        <v>-213976946.32999992</v>
      </c>
    </row>
    <row r="261" spans="2:26"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9"/>
      <c r="V261" s="277"/>
      <c r="W261" s="277">
        <f t="shared" si="216"/>
        <v>0</v>
      </c>
      <c r="X261" s="344"/>
      <c r="Y261" s="366"/>
      <c r="Z261" s="278">
        <f t="shared" si="217"/>
        <v>0</v>
      </c>
    </row>
    <row r="262" spans="2:26"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6">
        <v>1024</v>
      </c>
      <c r="V262" s="277">
        <v>225120000</v>
      </c>
      <c r="W262" s="277">
        <f t="shared" si="216"/>
        <v>0</v>
      </c>
      <c r="X262" s="344" t="s">
        <v>113409</v>
      </c>
      <c r="Y262" s="366">
        <v>225120000</v>
      </c>
      <c r="Z262" s="278">
        <f t="shared" si="217"/>
        <v>0</v>
      </c>
    </row>
    <row r="263" spans="2:26"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3">
        <v>238680000</v>
      </c>
      <c r="T263" s="93" t="s">
        <v>112999</v>
      </c>
      <c r="U263" s="276">
        <v>27624</v>
      </c>
      <c r="V263" s="277">
        <v>166401960</v>
      </c>
      <c r="W263" s="277">
        <f t="shared" si="216"/>
        <v>0</v>
      </c>
      <c r="X263" s="344" t="s">
        <v>113473</v>
      </c>
      <c r="Y263" s="366">
        <f>60000000+106401960</f>
        <v>166401960</v>
      </c>
      <c r="Z263" s="278">
        <f t="shared" si="217"/>
        <v>0</v>
      </c>
    </row>
    <row r="264" spans="2:26" ht="77.25" customHeight="1" x14ac:dyDescent="0.25">
      <c r="B264" s="84"/>
      <c r="C264" s="85"/>
      <c r="D264" s="85"/>
      <c r="E264" s="85"/>
      <c r="F264" s="85"/>
      <c r="G264" s="85"/>
      <c r="H264" s="85"/>
      <c r="I264" s="85"/>
      <c r="J264" s="86"/>
      <c r="K264" s="86"/>
      <c r="L264" s="87" t="s">
        <v>113118</v>
      </c>
      <c r="M264" s="88" t="s">
        <v>113487</v>
      </c>
      <c r="N264" s="89">
        <v>45544</v>
      </c>
      <c r="O264" s="89" t="s">
        <v>113074</v>
      </c>
      <c r="P264" s="90" t="s">
        <v>113475</v>
      </c>
      <c r="Q264" s="90" t="s">
        <v>113066</v>
      </c>
      <c r="R264" s="91">
        <f>58718040+14975300+1346660</f>
        <v>75040000</v>
      </c>
      <c r="S264" s="92"/>
      <c r="T264" s="93" t="s">
        <v>112999</v>
      </c>
      <c r="U264" s="276">
        <v>81624</v>
      </c>
      <c r="V264" s="277">
        <v>75040000</v>
      </c>
      <c r="W264" s="277">
        <f t="shared" si="216"/>
        <v>75040000</v>
      </c>
      <c r="X264" s="344"/>
      <c r="Y264" s="366"/>
      <c r="Z264" s="278">
        <f t="shared" si="217"/>
        <v>-75040000</v>
      </c>
    </row>
    <row r="265" spans="2:26"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6">
        <v>724</v>
      </c>
      <c r="V265" s="277">
        <v>256260000</v>
      </c>
      <c r="W265" s="277">
        <f t="shared" si="216"/>
        <v>0</v>
      </c>
      <c r="X265" s="344" t="s">
        <v>113408</v>
      </c>
      <c r="Y265" s="366">
        <v>256260000</v>
      </c>
      <c r="Z265" s="278">
        <f t="shared" si="217"/>
        <v>-680000</v>
      </c>
    </row>
    <row r="266" spans="2:26"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4">
        <v>272400000</v>
      </c>
      <c r="T266" s="93" t="s">
        <v>112999</v>
      </c>
      <c r="U266" s="276">
        <v>27624</v>
      </c>
      <c r="V266" s="277">
        <v>223030000</v>
      </c>
      <c r="W266" s="277">
        <f t="shared" si="216"/>
        <v>42830000</v>
      </c>
      <c r="X266" s="359" t="s">
        <v>113497</v>
      </c>
      <c r="Y266" s="366">
        <f>115200000+65000000</f>
        <v>180200000</v>
      </c>
      <c r="Z266" s="278">
        <f t="shared" si="217"/>
        <v>-42830000</v>
      </c>
    </row>
    <row r="267" spans="2:26" ht="104.25" customHeight="1" x14ac:dyDescent="0.25">
      <c r="B267" s="84"/>
      <c r="C267" s="85"/>
      <c r="D267" s="85"/>
      <c r="E267" s="85"/>
      <c r="F267" s="85"/>
      <c r="G267" s="85"/>
      <c r="H267" s="85"/>
      <c r="I267" s="85"/>
      <c r="J267" s="86"/>
      <c r="K267" s="86"/>
      <c r="L267" s="87">
        <v>72154100</v>
      </c>
      <c r="M267" s="88" t="s">
        <v>113476</v>
      </c>
      <c r="N267" s="89">
        <v>45544</v>
      </c>
      <c r="O267" s="89" t="s">
        <v>113074</v>
      </c>
      <c r="P267" s="90" t="s">
        <v>113475</v>
      </c>
      <c r="Q267" s="90" t="s">
        <v>113066</v>
      </c>
      <c r="R267" s="91">
        <f>33910000+65741866.67</f>
        <v>99651866.670000002</v>
      </c>
      <c r="S267" s="92"/>
      <c r="T267" s="93" t="s">
        <v>112999</v>
      </c>
      <c r="U267" s="276">
        <v>81624</v>
      </c>
      <c r="V267" s="277">
        <v>85646666.666666672</v>
      </c>
      <c r="W267" s="277">
        <f t="shared" si="216"/>
        <v>85646666.666666672</v>
      </c>
      <c r="X267" s="344"/>
      <c r="Y267" s="366"/>
      <c r="Z267" s="278">
        <f t="shared" ref="Z267" si="218">Y267-R267</f>
        <v>-99651866.670000002</v>
      </c>
    </row>
    <row r="268" spans="2:26"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6">
        <v>83824</v>
      </c>
      <c r="V268" s="277">
        <v>25550000</v>
      </c>
      <c r="W268" s="277">
        <f t="shared" si="216"/>
        <v>25550000</v>
      </c>
      <c r="X268" s="344"/>
      <c r="Y268" s="366"/>
      <c r="Z268" s="278">
        <f t="shared" si="217"/>
        <v>-25550000</v>
      </c>
    </row>
    <row r="269" spans="2:26"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6">
        <v>83524</v>
      </c>
      <c r="V269" s="277">
        <v>30000000</v>
      </c>
      <c r="W269" s="277">
        <f t="shared" si="216"/>
        <v>30000000</v>
      </c>
      <c r="X269" s="344"/>
      <c r="Y269" s="366"/>
      <c r="Z269" s="278">
        <f t="shared" si="217"/>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92">
        <f t="shared" ref="V270:W270" si="219">SUM(V271:V275)</f>
        <v>126700000</v>
      </c>
      <c r="W270" s="81">
        <f t="shared" si="219"/>
        <v>80000000</v>
      </c>
      <c r="X270" s="339"/>
      <c r="Y270" s="81">
        <f t="shared" ref="Y270:Z270" si="220">SUM(Y271:Y275)</f>
        <v>46700000</v>
      </c>
      <c r="Z270" s="81">
        <f t="shared" si="220"/>
        <v>-110000000</v>
      </c>
    </row>
    <row r="271" spans="2:26"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6">
        <v>5524</v>
      </c>
      <c r="V271" s="277">
        <v>29700000</v>
      </c>
      <c r="W271" s="277">
        <f t="shared" si="216"/>
        <v>0</v>
      </c>
      <c r="X271" s="344" t="s">
        <v>113418</v>
      </c>
      <c r="Y271" s="366">
        <v>29700000</v>
      </c>
      <c r="Z271" s="278">
        <f t="shared" ref="Z271:Z275" si="221">Y271-R271</f>
        <v>0</v>
      </c>
    </row>
    <row r="272" spans="2:26" ht="60" x14ac:dyDescent="0.25">
      <c r="B272" s="84"/>
      <c r="C272" s="85"/>
      <c r="D272" s="85"/>
      <c r="E272" s="85"/>
      <c r="F272" s="85"/>
      <c r="G272" s="85"/>
      <c r="H272" s="85"/>
      <c r="I272" s="85"/>
      <c r="J272" s="86"/>
      <c r="K272" s="86" t="s">
        <v>112301</v>
      </c>
      <c r="L272" s="87" t="s">
        <v>113120</v>
      </c>
      <c r="M272" s="97" t="s">
        <v>113471</v>
      </c>
      <c r="N272" s="89">
        <v>45536</v>
      </c>
      <c r="O272" s="89" t="s">
        <v>113074</v>
      </c>
      <c r="P272" s="90" t="s">
        <v>113005</v>
      </c>
      <c r="Q272" s="90" t="s">
        <v>113089</v>
      </c>
      <c r="R272" s="91">
        <v>95000000</v>
      </c>
      <c r="S272" s="161"/>
      <c r="T272" s="93" t="s">
        <v>113002</v>
      </c>
      <c r="U272" s="276">
        <v>81124</v>
      </c>
      <c r="V272" s="277">
        <v>65000000</v>
      </c>
      <c r="W272" s="277">
        <f t="shared" si="216"/>
        <v>65000000</v>
      </c>
      <c r="X272" s="344"/>
      <c r="Y272" s="366"/>
      <c r="Z272" s="278">
        <f t="shared" si="221"/>
        <v>-95000000</v>
      </c>
    </row>
    <row r="273" spans="2:26" ht="71.25" customHeight="1" x14ac:dyDescent="0.25">
      <c r="B273" s="84"/>
      <c r="C273" s="85"/>
      <c r="D273" s="85"/>
      <c r="E273" s="85"/>
      <c r="F273" s="85"/>
      <c r="G273" s="85"/>
      <c r="H273" s="85"/>
      <c r="I273" s="85"/>
      <c r="J273" s="86"/>
      <c r="K273" s="86"/>
      <c r="L273" s="87">
        <v>72151500</v>
      </c>
      <c r="M273" s="88" t="s">
        <v>113484</v>
      </c>
      <c r="N273" s="89">
        <v>45548</v>
      </c>
      <c r="O273" s="89" t="s">
        <v>113074</v>
      </c>
      <c r="P273" s="90" t="s">
        <v>112997</v>
      </c>
      <c r="Q273" s="90" t="s">
        <v>113051</v>
      </c>
      <c r="R273" s="91">
        <v>17000000</v>
      </c>
      <c r="S273" s="92"/>
      <c r="T273" s="93" t="s">
        <v>112999</v>
      </c>
      <c r="U273" s="276">
        <v>83124</v>
      </c>
      <c r="V273" s="277">
        <v>17000000</v>
      </c>
      <c r="W273" s="277">
        <f t="shared" si="216"/>
        <v>0</v>
      </c>
      <c r="X273" s="344" t="s">
        <v>113512</v>
      </c>
      <c r="Y273" s="366">
        <v>17000000</v>
      </c>
      <c r="Z273" s="278">
        <f t="shared" si="221"/>
        <v>0</v>
      </c>
    </row>
    <row r="274" spans="2:26" ht="71.25" customHeight="1" x14ac:dyDescent="0.25">
      <c r="B274" s="84"/>
      <c r="C274" s="85"/>
      <c r="D274" s="85"/>
      <c r="E274" s="85"/>
      <c r="F274" s="85"/>
      <c r="G274" s="85"/>
      <c r="H274" s="85"/>
      <c r="I274" s="85"/>
      <c r="J274" s="86"/>
      <c r="K274" s="86"/>
      <c r="L274" s="87" t="s">
        <v>113485</v>
      </c>
      <c r="M274" s="88" t="s">
        <v>113494</v>
      </c>
      <c r="N274" s="89">
        <v>45552</v>
      </c>
      <c r="O274" s="89" t="s">
        <v>113074</v>
      </c>
      <c r="P274" s="90" t="s">
        <v>113075</v>
      </c>
      <c r="Q274" s="90" t="s">
        <v>113050</v>
      </c>
      <c r="R274" s="91">
        <v>15000000</v>
      </c>
      <c r="S274" s="92"/>
      <c r="T274" s="93" t="s">
        <v>112999</v>
      </c>
      <c r="U274" s="276">
        <v>87224</v>
      </c>
      <c r="V274" s="277">
        <v>15000000</v>
      </c>
      <c r="W274" s="277">
        <f t="shared" si="216"/>
        <v>15000000</v>
      </c>
      <c r="X274" s="344"/>
      <c r="Y274" s="366"/>
      <c r="Z274" s="278">
        <f t="shared" si="221"/>
        <v>-15000000</v>
      </c>
    </row>
    <row r="275" spans="2:26" ht="45" x14ac:dyDescent="0.25">
      <c r="B275" s="84"/>
      <c r="C275" s="85"/>
      <c r="D275" s="85"/>
      <c r="E275" s="85"/>
      <c r="F275" s="85"/>
      <c r="G275" s="85"/>
      <c r="H275" s="85"/>
      <c r="I275" s="85"/>
      <c r="J275" s="86"/>
      <c r="K275" s="86" t="s">
        <v>112301</v>
      </c>
      <c r="L275" s="87" t="s">
        <v>113120</v>
      </c>
      <c r="M275" s="88" t="s">
        <v>113241</v>
      </c>
      <c r="N275" s="89">
        <v>44998</v>
      </c>
      <c r="O275" s="89" t="s">
        <v>113004</v>
      </c>
      <c r="P275" s="90" t="s">
        <v>113003</v>
      </c>
      <c r="Q275" s="90" t="s">
        <v>113089</v>
      </c>
      <c r="R275" s="91">
        <v>0</v>
      </c>
      <c r="S275" s="161"/>
      <c r="T275" s="93" t="s">
        <v>113002</v>
      </c>
      <c r="U275" s="279"/>
      <c r="V275" s="277"/>
      <c r="W275" s="277">
        <f t="shared" si="216"/>
        <v>0</v>
      </c>
      <c r="X275" s="344"/>
      <c r="Y275" s="366"/>
      <c r="Z275" s="278">
        <f t="shared" si="221"/>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92">
        <f t="shared" ref="V276:W276" si="222">SUM(V277:V282)</f>
        <v>1436800000</v>
      </c>
      <c r="W276" s="81">
        <f t="shared" si="222"/>
        <v>156633331</v>
      </c>
      <c r="X276" s="339"/>
      <c r="Y276" s="81">
        <f t="shared" ref="Y276:Z276" si="223">SUM(Y277:Y282)</f>
        <v>1280166669</v>
      </c>
      <c r="Z276" s="81">
        <f t="shared" si="223"/>
        <v>-91733331</v>
      </c>
    </row>
    <row r="277" spans="2:26"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9"/>
      <c r="V277" s="277"/>
      <c r="W277" s="277">
        <f t="shared" si="216"/>
        <v>0</v>
      </c>
      <c r="X277" s="344"/>
      <c r="Y277" s="366"/>
      <c r="Z277" s="278">
        <f t="shared" ref="Z277:Z282" si="224">Y277-R277</f>
        <v>-15600000</v>
      </c>
    </row>
    <row r="278" spans="2:26" ht="71.25" customHeight="1" x14ac:dyDescent="0.25">
      <c r="B278" s="84"/>
      <c r="C278" s="85"/>
      <c r="D278" s="85"/>
      <c r="E278" s="85"/>
      <c r="F278" s="85"/>
      <c r="G278" s="85"/>
      <c r="H278" s="85"/>
      <c r="I278" s="85"/>
      <c r="J278" s="86"/>
      <c r="K278" s="86"/>
      <c r="L278" s="87">
        <v>72101500</v>
      </c>
      <c r="M278" s="88" t="s">
        <v>113482</v>
      </c>
      <c r="N278" s="89">
        <v>45548</v>
      </c>
      <c r="O278" s="89" t="s">
        <v>113074</v>
      </c>
      <c r="P278" s="90" t="s">
        <v>112997</v>
      </c>
      <c r="Q278" s="90" t="s">
        <v>113051</v>
      </c>
      <c r="R278" s="91">
        <v>10500000</v>
      </c>
      <c r="S278" s="92"/>
      <c r="T278" s="93" t="s">
        <v>112999</v>
      </c>
      <c r="U278" s="276">
        <v>81924</v>
      </c>
      <c r="V278" s="277">
        <v>10500000</v>
      </c>
      <c r="W278" s="277">
        <f t="shared" si="216"/>
        <v>10500000</v>
      </c>
      <c r="X278" s="344"/>
      <c r="Y278" s="366"/>
      <c r="Z278" s="278">
        <f t="shared" si="224"/>
        <v>-10500000</v>
      </c>
    </row>
    <row r="279" spans="2:26" ht="52.5" customHeight="1" x14ac:dyDescent="0.25">
      <c r="B279" s="84"/>
      <c r="C279" s="85"/>
      <c r="D279" s="85"/>
      <c r="E279" s="85"/>
      <c r="F279" s="85"/>
      <c r="G279" s="85"/>
      <c r="H279" s="85"/>
      <c r="I279" s="85"/>
      <c r="J279" s="86"/>
      <c r="K279" s="86"/>
      <c r="L279" s="87">
        <v>72101500</v>
      </c>
      <c r="M279" s="88" t="s">
        <v>113483</v>
      </c>
      <c r="N279" s="89">
        <v>45548</v>
      </c>
      <c r="O279" s="89" t="s">
        <v>113074</v>
      </c>
      <c r="P279" s="90" t="s">
        <v>112997</v>
      </c>
      <c r="Q279" s="90" t="s">
        <v>113051</v>
      </c>
      <c r="R279" s="91">
        <v>33000000</v>
      </c>
      <c r="S279" s="92"/>
      <c r="T279" s="93" t="s">
        <v>112999</v>
      </c>
      <c r="U279" s="276">
        <v>81324</v>
      </c>
      <c r="V279" s="277">
        <v>33000000</v>
      </c>
      <c r="W279" s="277">
        <f t="shared" si="216"/>
        <v>33000000</v>
      </c>
      <c r="X279" s="344"/>
      <c r="Y279" s="366"/>
      <c r="Z279" s="278">
        <f t="shared" si="224"/>
        <v>-33000000</v>
      </c>
    </row>
    <row r="280" spans="2:26"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6">
        <v>5724</v>
      </c>
      <c r="V280" s="277">
        <v>307500000</v>
      </c>
      <c r="W280" s="277">
        <f t="shared" si="216"/>
        <v>10000000</v>
      </c>
      <c r="X280" s="344" t="s">
        <v>113416</v>
      </c>
      <c r="Y280" s="366">
        <v>297500000</v>
      </c>
      <c r="Z280" s="278">
        <f t="shared" si="224"/>
        <v>-10000000</v>
      </c>
    </row>
    <row r="281" spans="2:26"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6">
        <v>5824</v>
      </c>
      <c r="V281" s="277">
        <v>85800000</v>
      </c>
      <c r="W281" s="277">
        <f t="shared" si="216"/>
        <v>0</v>
      </c>
      <c r="X281" s="344" t="s">
        <v>113419</v>
      </c>
      <c r="Y281" s="366">
        <v>85800000</v>
      </c>
      <c r="Z281" s="278">
        <f t="shared" si="224"/>
        <v>0</v>
      </c>
    </row>
    <row r="282" spans="2:26"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6">
        <v>14924</v>
      </c>
      <c r="V282" s="277">
        <v>1000000000</v>
      </c>
      <c r="W282" s="277">
        <f t="shared" si="216"/>
        <v>103133331</v>
      </c>
      <c r="X282" s="344" t="s">
        <v>113359</v>
      </c>
      <c r="Y282" s="366">
        <v>896866669</v>
      </c>
      <c r="Z282" s="278">
        <f t="shared" si="224"/>
        <v>-22633331</v>
      </c>
    </row>
    <row r="283" spans="2:26" ht="54" customHeight="1" x14ac:dyDescent="0.25">
      <c r="B283" s="162" t="s">
        <v>105516</v>
      </c>
      <c r="C283" s="162" t="s">
        <v>105924</v>
      </c>
      <c r="D283" s="162" t="s">
        <v>105520</v>
      </c>
      <c r="E283" s="162" t="s">
        <v>105573</v>
      </c>
      <c r="F283" s="162" t="s">
        <v>105547</v>
      </c>
      <c r="G283" s="162"/>
      <c r="H283" s="162"/>
      <c r="I283" s="162"/>
      <c r="J283" s="162"/>
      <c r="K283" s="163"/>
      <c r="L283" s="61"/>
      <c r="M283" s="62" t="s">
        <v>113316</v>
      </c>
      <c r="N283" s="63"/>
      <c r="O283" s="164"/>
      <c r="P283" s="64"/>
      <c r="Q283" s="64"/>
      <c r="R283" s="65">
        <f>+R284</f>
        <v>3400000</v>
      </c>
      <c r="S283" s="66"/>
      <c r="T283" s="67"/>
      <c r="U283" s="63" t="s">
        <v>112994</v>
      </c>
      <c r="V283" s="390">
        <f t="shared" ref="V283:W284" si="225">+V284</f>
        <v>0</v>
      </c>
      <c r="W283" s="65">
        <f t="shared" si="225"/>
        <v>0</v>
      </c>
      <c r="X283" s="337"/>
      <c r="Y283" s="65">
        <f t="shared" ref="Y283:Z284" si="226">+Y284</f>
        <v>0</v>
      </c>
      <c r="Z283" s="65">
        <f t="shared" si="226"/>
        <v>-3400000</v>
      </c>
    </row>
    <row r="284" spans="2:26" x14ac:dyDescent="0.25">
      <c r="B284" s="310" t="s">
        <v>105516</v>
      </c>
      <c r="C284" s="310" t="s">
        <v>105924</v>
      </c>
      <c r="D284" s="310" t="s">
        <v>105520</v>
      </c>
      <c r="E284" s="310" t="s">
        <v>105573</v>
      </c>
      <c r="F284" s="310" t="s">
        <v>105547</v>
      </c>
      <c r="G284" s="310" t="s">
        <v>105550</v>
      </c>
      <c r="H284" s="165"/>
      <c r="I284" s="165"/>
      <c r="J284" s="165"/>
      <c r="K284" s="166"/>
      <c r="L284" s="149"/>
      <c r="M284" s="150" t="s">
        <v>106841</v>
      </c>
      <c r="N284" s="151"/>
      <c r="O284" s="151"/>
      <c r="P284" s="152"/>
      <c r="Q284" s="152"/>
      <c r="R284" s="153">
        <f>+R285</f>
        <v>3400000</v>
      </c>
      <c r="S284" s="153"/>
      <c r="T284" s="153"/>
      <c r="U284" s="153"/>
      <c r="V284" s="398">
        <f t="shared" si="225"/>
        <v>0</v>
      </c>
      <c r="W284" s="153">
        <f t="shared" si="225"/>
        <v>0</v>
      </c>
      <c r="X284" s="153"/>
      <c r="Y284" s="153">
        <f t="shared" si="226"/>
        <v>0</v>
      </c>
      <c r="Z284" s="153">
        <f t="shared" si="226"/>
        <v>-3400000</v>
      </c>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92">
        <f t="shared" ref="V285:W285" si="227">+V286</f>
        <v>0</v>
      </c>
      <c r="W285" s="81">
        <f t="shared" si="227"/>
        <v>0</v>
      </c>
      <c r="X285" s="339"/>
      <c r="Y285" s="81">
        <f t="shared" ref="Y285:Z285" si="228">+Y286</f>
        <v>0</v>
      </c>
      <c r="Z285" s="81">
        <f t="shared" si="228"/>
        <v>-3400000</v>
      </c>
    </row>
    <row r="286" spans="2:26"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9"/>
      <c r="V286" s="277"/>
      <c r="W286" s="277">
        <f>V286-Y286</f>
        <v>0</v>
      </c>
      <c r="X286" s="344"/>
      <c r="Y286" s="94"/>
      <c r="Z286" s="278">
        <f>Y286-R286</f>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113313</v>
      </c>
      <c r="N287" s="63"/>
      <c r="O287" s="164"/>
      <c r="P287" s="64"/>
      <c r="Q287" s="64"/>
      <c r="R287" s="65">
        <f>+R288+R295</f>
        <v>934319487</v>
      </c>
      <c r="S287" s="66"/>
      <c r="T287" s="67"/>
      <c r="U287" s="63" t="s">
        <v>112994</v>
      </c>
      <c r="V287" s="390">
        <f t="shared" ref="V287:W287" si="229">+V288+V295</f>
        <v>926556287</v>
      </c>
      <c r="W287" s="65">
        <f t="shared" si="229"/>
        <v>738447239</v>
      </c>
      <c r="X287" s="337"/>
      <c r="Y287" s="65">
        <f t="shared" ref="Y287:Z287" si="230">+Y288+Y295</f>
        <v>188109048</v>
      </c>
      <c r="Z287" s="65">
        <f t="shared" si="230"/>
        <v>-746210439</v>
      </c>
    </row>
    <row r="288" spans="2:26" x14ac:dyDescent="0.25">
      <c r="B288" s="309" t="s">
        <v>105516</v>
      </c>
      <c r="C288" s="309" t="s">
        <v>105924</v>
      </c>
      <c r="D288" s="309" t="s">
        <v>105520</v>
      </c>
      <c r="E288" s="309" t="s">
        <v>105573</v>
      </c>
      <c r="F288" s="309" t="s">
        <v>105550</v>
      </c>
      <c r="G288" s="310" t="s">
        <v>105528</v>
      </c>
      <c r="H288" s="148"/>
      <c r="I288" s="148"/>
      <c r="J288" s="148"/>
      <c r="K288" s="149"/>
      <c r="L288" s="149"/>
      <c r="M288" s="150" t="s">
        <v>106867</v>
      </c>
      <c r="N288" s="151"/>
      <c r="O288" s="151"/>
      <c r="P288" s="152"/>
      <c r="Q288" s="152"/>
      <c r="R288" s="153">
        <f>R289</f>
        <v>786300287</v>
      </c>
      <c r="S288" s="153"/>
      <c r="T288" s="153"/>
      <c r="U288" s="153"/>
      <c r="V288" s="398">
        <f t="shared" ref="V288:Z288" si="231">V289</f>
        <v>786300287</v>
      </c>
      <c r="W288" s="153">
        <f t="shared" si="231"/>
        <v>738447239</v>
      </c>
      <c r="X288" s="153"/>
      <c r="Y288" s="153">
        <f t="shared" si="231"/>
        <v>47853048</v>
      </c>
      <c r="Z288" s="153">
        <f t="shared" si="231"/>
        <v>-738447239</v>
      </c>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113321</v>
      </c>
      <c r="N289" s="79"/>
      <c r="O289" s="79"/>
      <c r="P289" s="80"/>
      <c r="Q289" s="80"/>
      <c r="R289" s="81">
        <f>R290+R292</f>
        <v>786300287</v>
      </c>
      <c r="S289" s="82"/>
      <c r="T289" s="83"/>
      <c r="U289" s="79"/>
      <c r="V289" s="392">
        <f t="shared" ref="V289:W289" si="232">V290+V292</f>
        <v>786300287</v>
      </c>
      <c r="W289" s="81">
        <f t="shared" si="232"/>
        <v>738447239</v>
      </c>
      <c r="X289" s="339"/>
      <c r="Y289" s="81">
        <f t="shared" ref="Y289:Z289" si="233">Y290+Y292</f>
        <v>47853048</v>
      </c>
      <c r="Z289" s="81">
        <f t="shared" si="233"/>
        <v>-738447239</v>
      </c>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113326</v>
      </c>
      <c r="N290" s="79"/>
      <c r="O290" s="79"/>
      <c r="P290" s="80"/>
      <c r="Q290" s="80"/>
      <c r="R290" s="81">
        <f>+R291</f>
        <v>75000000</v>
      </c>
      <c r="S290" s="82"/>
      <c r="T290" s="83"/>
      <c r="U290" s="79"/>
      <c r="V290" s="392">
        <f t="shared" ref="V290:W290" si="234">+V291</f>
        <v>75000000</v>
      </c>
      <c r="W290" s="81">
        <f t="shared" si="234"/>
        <v>27146952</v>
      </c>
      <c r="X290" s="339"/>
      <c r="Y290" s="81">
        <f t="shared" ref="Y290:Z290" si="235">+Y291</f>
        <v>47853048</v>
      </c>
      <c r="Z290" s="81">
        <f t="shared" si="235"/>
        <v>-27146952</v>
      </c>
    </row>
    <row r="291" spans="2:26"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6">
        <v>15224</v>
      </c>
      <c r="V291" s="277">
        <v>75000000</v>
      </c>
      <c r="W291" s="277">
        <f>V291-Y291</f>
        <v>27146952</v>
      </c>
      <c r="X291" s="344" t="s">
        <v>113420</v>
      </c>
      <c r="Y291" s="366">
        <v>47853048</v>
      </c>
      <c r="Z291" s="278">
        <f>Y291-R291</f>
        <v>-27146952</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711300287</v>
      </c>
      <c r="S292" s="82"/>
      <c r="T292" s="96"/>
      <c r="U292" s="79"/>
      <c r="V292" s="392">
        <f t="shared" ref="V292:W293" si="236">V293</f>
        <v>711300287</v>
      </c>
      <c r="W292" s="81">
        <f t="shared" si="236"/>
        <v>711300287</v>
      </c>
      <c r="X292" s="339"/>
      <c r="Y292" s="81">
        <f t="shared" ref="Y292:Z293" si="237">Y293</f>
        <v>0</v>
      </c>
      <c r="Z292" s="81">
        <f t="shared" si="237"/>
        <v>-711300287</v>
      </c>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711300287</v>
      </c>
      <c r="S293" s="82"/>
      <c r="T293" s="96"/>
      <c r="U293" s="79"/>
      <c r="V293" s="392">
        <f t="shared" si="236"/>
        <v>711300287</v>
      </c>
      <c r="W293" s="81">
        <f t="shared" si="236"/>
        <v>711300287</v>
      </c>
      <c r="X293" s="339"/>
      <c r="Y293" s="81">
        <f t="shared" si="237"/>
        <v>0</v>
      </c>
      <c r="Z293" s="81">
        <f t="shared" si="237"/>
        <v>-711300287</v>
      </c>
    </row>
    <row r="294" spans="2:26"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v>711300287</v>
      </c>
      <c r="S294" s="91"/>
      <c r="T294" s="93" t="s">
        <v>112999</v>
      </c>
      <c r="U294" s="276">
        <v>81624</v>
      </c>
      <c r="V294" s="277">
        <v>711300287</v>
      </c>
      <c r="W294" s="277">
        <f>V294-Y294</f>
        <v>711300287</v>
      </c>
      <c r="X294" s="344"/>
      <c r="Y294" s="366"/>
      <c r="Z294" s="278">
        <f>Y294-R294</f>
        <v>-711300287</v>
      </c>
    </row>
    <row r="295" spans="2:26" x14ac:dyDescent="0.25">
      <c r="B295" s="309" t="s">
        <v>105516</v>
      </c>
      <c r="C295" s="309" t="s">
        <v>105924</v>
      </c>
      <c r="D295" s="309" t="s">
        <v>105520</v>
      </c>
      <c r="E295" s="309" t="s">
        <v>105573</v>
      </c>
      <c r="F295" s="309" t="s">
        <v>105550</v>
      </c>
      <c r="G295" s="309" t="s">
        <v>105535</v>
      </c>
      <c r="H295" s="148"/>
      <c r="I295" s="148"/>
      <c r="J295" s="148"/>
      <c r="K295" s="149"/>
      <c r="L295" s="149"/>
      <c r="M295" s="150" t="s">
        <v>106948</v>
      </c>
      <c r="N295" s="151"/>
      <c r="O295" s="151"/>
      <c r="P295" s="152"/>
      <c r="Q295" s="152"/>
      <c r="R295" s="153">
        <f>+R296</f>
        <v>148019200</v>
      </c>
      <c r="S295" s="153"/>
      <c r="T295" s="153"/>
      <c r="U295" s="153"/>
      <c r="V295" s="398">
        <f t="shared" ref="V295:Z295" si="238">+V296</f>
        <v>140256000</v>
      </c>
      <c r="W295" s="153">
        <f t="shared" si="238"/>
        <v>0</v>
      </c>
      <c r="X295" s="153"/>
      <c r="Y295" s="153">
        <f t="shared" si="238"/>
        <v>140256000</v>
      </c>
      <c r="Z295" s="153">
        <f t="shared" si="238"/>
        <v>-7763200</v>
      </c>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92">
        <f t="shared" ref="V296:W297" si="239">+V297</f>
        <v>140256000</v>
      </c>
      <c r="W296" s="81">
        <f t="shared" si="239"/>
        <v>0</v>
      </c>
      <c r="X296" s="339"/>
      <c r="Y296" s="81">
        <f t="shared" ref="Y296:Z297" si="240">+Y297</f>
        <v>140256000</v>
      </c>
      <c r="Z296" s="81">
        <f t="shared" si="240"/>
        <v>-7763200</v>
      </c>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92">
        <f t="shared" si="239"/>
        <v>140256000</v>
      </c>
      <c r="W297" s="81">
        <f t="shared" si="239"/>
        <v>0</v>
      </c>
      <c r="X297" s="339"/>
      <c r="Y297" s="81">
        <f t="shared" si="240"/>
        <v>140256000</v>
      </c>
      <c r="Z297" s="81">
        <f t="shared" si="240"/>
        <v>-7763200</v>
      </c>
    </row>
    <row r="298" spans="2:26"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80" t="s">
        <v>113453</v>
      </c>
      <c r="V298" s="370">
        <v>140256000</v>
      </c>
      <c r="W298" s="277">
        <f>V298-Y298</f>
        <v>0</v>
      </c>
      <c r="X298" s="344" t="s">
        <v>113421</v>
      </c>
      <c r="Y298" s="370">
        <v>140256000</v>
      </c>
      <c r="Z298" s="278">
        <f>Y298-R298</f>
        <v>-7763200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90">
        <f t="shared" ref="V299:W299" si="241">+V300+V311+V327</f>
        <v>2549660227.2600002</v>
      </c>
      <c r="W299" s="65">
        <f t="shared" si="241"/>
        <v>558036433.21000004</v>
      </c>
      <c r="X299" s="337"/>
      <c r="Y299" s="65">
        <f t="shared" ref="Y299:Z299" si="242">+Y300+Y311+Y327</f>
        <v>1991623794.05</v>
      </c>
      <c r="Z299" s="65">
        <f t="shared" si="242"/>
        <v>-624719945.94999993</v>
      </c>
    </row>
    <row r="300" spans="2:26" ht="45" x14ac:dyDescent="0.25">
      <c r="B300" s="309" t="s">
        <v>105516</v>
      </c>
      <c r="C300" s="309" t="s">
        <v>105924</v>
      </c>
      <c r="D300" s="309" t="s">
        <v>105520</v>
      </c>
      <c r="E300" s="309" t="s">
        <v>105573</v>
      </c>
      <c r="F300" s="309" t="s">
        <v>105553</v>
      </c>
      <c r="G300" s="309" t="s">
        <v>105538</v>
      </c>
      <c r="H300" s="148"/>
      <c r="I300" s="148"/>
      <c r="J300" s="148"/>
      <c r="K300" s="149"/>
      <c r="L300" s="149"/>
      <c r="M300" s="150" t="s">
        <v>113317</v>
      </c>
      <c r="N300" s="151"/>
      <c r="O300" s="151"/>
      <c r="P300" s="152"/>
      <c r="Q300" s="152"/>
      <c r="R300" s="153">
        <f>+R301</f>
        <v>148300000</v>
      </c>
      <c r="S300" s="153"/>
      <c r="T300" s="153"/>
      <c r="U300" s="153"/>
      <c r="V300" s="398">
        <f t="shared" ref="V300:Z300" si="243">+V301</f>
        <v>145933333.32999998</v>
      </c>
      <c r="W300" s="153">
        <f t="shared" si="243"/>
        <v>8533334</v>
      </c>
      <c r="X300" s="153"/>
      <c r="Y300" s="153">
        <f t="shared" si="243"/>
        <v>137399999.32999998</v>
      </c>
      <c r="Z300" s="153">
        <f t="shared" si="243"/>
        <v>-10900000.670000002</v>
      </c>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92">
        <f t="shared" ref="V301:W301" si="244">+V302</f>
        <v>145933333.32999998</v>
      </c>
      <c r="W301" s="81">
        <f t="shared" si="244"/>
        <v>8533334</v>
      </c>
      <c r="X301" s="339"/>
      <c r="Y301" s="81">
        <f t="shared" ref="Y301:Z301" si="245">+Y302</f>
        <v>137399999.32999998</v>
      </c>
      <c r="Z301" s="81">
        <f t="shared" si="245"/>
        <v>-10900000.670000002</v>
      </c>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92">
        <f t="shared" ref="V302:W302" si="246">SUM(V303:V310)</f>
        <v>145933333.32999998</v>
      </c>
      <c r="W302" s="81">
        <f t="shared" si="246"/>
        <v>8533334</v>
      </c>
      <c r="X302" s="339"/>
      <c r="Y302" s="81">
        <f t="shared" ref="Y302:Z302" si="247">SUM(Y303:Y310)</f>
        <v>137399999.32999998</v>
      </c>
      <c r="Z302" s="81">
        <f t="shared" si="247"/>
        <v>-10900000.670000002</v>
      </c>
    </row>
    <row r="303" spans="2:26"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61"/>
      <c r="V303" s="277"/>
      <c r="W303" s="277">
        <f t="shared" ref="W303:W309" si="248">V303-Y303</f>
        <v>0</v>
      </c>
      <c r="X303" s="344"/>
      <c r="Y303" s="366"/>
      <c r="Z303" s="278">
        <f t="shared" ref="Z303:Z309" si="249">Y303-R303</f>
        <v>0</v>
      </c>
    </row>
    <row r="304" spans="2:26"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6">
        <v>14124</v>
      </c>
      <c r="V304" s="277">
        <v>35200000</v>
      </c>
      <c r="W304" s="277">
        <f t="shared" si="248"/>
        <v>4266667</v>
      </c>
      <c r="X304" s="359" t="s">
        <v>113463</v>
      </c>
      <c r="Y304" s="366">
        <f>16000000+14933333</f>
        <v>30933333</v>
      </c>
      <c r="Z304" s="278">
        <f t="shared" si="249"/>
        <v>-4266667</v>
      </c>
    </row>
    <row r="305" spans="1:26" ht="45" x14ac:dyDescent="0.25">
      <c r="B305" s="124"/>
      <c r="C305" s="125"/>
      <c r="D305" s="125"/>
      <c r="E305" s="125"/>
      <c r="F305" s="125"/>
      <c r="G305" s="125"/>
      <c r="H305" s="125"/>
      <c r="I305" s="125"/>
      <c r="J305" s="126"/>
      <c r="K305" s="126"/>
      <c r="L305" s="87">
        <v>80161500</v>
      </c>
      <c r="M305" s="88" t="s">
        <v>113300</v>
      </c>
      <c r="N305" s="89">
        <v>45384</v>
      </c>
      <c r="O305" s="89" t="s">
        <v>113004</v>
      </c>
      <c r="P305" s="90" t="s">
        <v>113133</v>
      </c>
      <c r="Q305" s="121" t="s">
        <v>113051</v>
      </c>
      <c r="R305" s="91">
        <f>20500000-20500000</f>
        <v>0</v>
      </c>
      <c r="S305" s="92"/>
      <c r="T305" s="93" t="s">
        <v>113052</v>
      </c>
      <c r="U305" s="276">
        <v>35724</v>
      </c>
      <c r="V305" s="277">
        <v>0</v>
      </c>
      <c r="W305" s="277">
        <f t="shared" si="248"/>
        <v>0</v>
      </c>
      <c r="X305" s="344"/>
      <c r="Y305" s="366"/>
      <c r="Z305" s="278">
        <f t="shared" ref="Z305" si="250">Y305-R305</f>
        <v>0</v>
      </c>
    </row>
    <row r="306" spans="1:26" ht="93.75" customHeight="1" x14ac:dyDescent="0.25">
      <c r="B306" s="124"/>
      <c r="C306" s="125"/>
      <c r="D306" s="125"/>
      <c r="E306" s="125"/>
      <c r="F306" s="125"/>
      <c r="G306" s="125"/>
      <c r="H306" s="125"/>
      <c r="I306" s="125"/>
      <c r="J306" s="126"/>
      <c r="K306" s="126"/>
      <c r="L306" s="87">
        <v>80161500</v>
      </c>
      <c r="M306" s="88" t="s">
        <v>113335</v>
      </c>
      <c r="N306" s="89">
        <v>45447</v>
      </c>
      <c r="O306" s="89" t="s">
        <v>113167</v>
      </c>
      <c r="P306" s="90" t="s">
        <v>113001</v>
      </c>
      <c r="Q306" s="90" t="s">
        <v>113068</v>
      </c>
      <c r="R306" s="91">
        <v>20500000</v>
      </c>
      <c r="S306" s="92"/>
      <c r="T306" s="93" t="s">
        <v>113027</v>
      </c>
      <c r="U306" s="276">
        <v>63624</v>
      </c>
      <c r="V306" s="277">
        <v>18133333.329999998</v>
      </c>
      <c r="W306" s="277">
        <f t="shared" si="248"/>
        <v>0</v>
      </c>
      <c r="X306" s="344" t="s">
        <v>113423</v>
      </c>
      <c r="Y306" s="366">
        <v>18133333.329999998</v>
      </c>
      <c r="Z306" s="278">
        <f t="shared" si="249"/>
        <v>-2366666.6700000018</v>
      </c>
    </row>
    <row r="307" spans="1:26"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6">
        <v>14624</v>
      </c>
      <c r="V307" s="277">
        <v>35200000</v>
      </c>
      <c r="W307" s="277">
        <f t="shared" si="248"/>
        <v>4266667</v>
      </c>
      <c r="X307" s="359" t="s">
        <v>113459</v>
      </c>
      <c r="Y307" s="366">
        <f>16000000+14933333</f>
        <v>30933333</v>
      </c>
      <c r="Z307" s="278">
        <f t="shared" si="249"/>
        <v>-4266667</v>
      </c>
    </row>
    <row r="308" spans="1:26"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9"/>
      <c r="V308" s="277"/>
      <c r="W308" s="277">
        <f t="shared" si="248"/>
        <v>0</v>
      </c>
      <c r="X308" s="344"/>
      <c r="Y308" s="366"/>
      <c r="Z308" s="278">
        <f t="shared" si="249"/>
        <v>0</v>
      </c>
    </row>
    <row r="309" spans="1:26"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4">
        <v>3124</v>
      </c>
      <c r="V309" s="285">
        <v>45100000</v>
      </c>
      <c r="W309" s="277">
        <f t="shared" si="248"/>
        <v>0</v>
      </c>
      <c r="X309" s="350" t="s">
        <v>113422</v>
      </c>
      <c r="Y309" s="367">
        <v>45100000</v>
      </c>
      <c r="Z309" s="278">
        <f t="shared" si="249"/>
        <v>0</v>
      </c>
    </row>
    <row r="310" spans="1:26" ht="91.5" customHeight="1" x14ac:dyDescent="0.25">
      <c r="B310" s="84"/>
      <c r="C310" s="85"/>
      <c r="D310" s="85"/>
      <c r="E310" s="85"/>
      <c r="F310" s="85"/>
      <c r="G310" s="85"/>
      <c r="H310" s="85"/>
      <c r="I310" s="85"/>
      <c r="J310" s="86"/>
      <c r="K310" s="86" t="s">
        <v>106997</v>
      </c>
      <c r="L310" s="51">
        <v>80101500</v>
      </c>
      <c r="M310" s="97" t="s">
        <v>113486</v>
      </c>
      <c r="N310" s="89">
        <v>45541</v>
      </c>
      <c r="O310" s="89" t="s">
        <v>113074</v>
      </c>
      <c r="P310" s="90" t="s">
        <v>112997</v>
      </c>
      <c r="Q310" s="90" t="s">
        <v>113051</v>
      </c>
      <c r="R310" s="91">
        <v>12300000</v>
      </c>
      <c r="S310" s="92"/>
      <c r="T310" s="88" t="s">
        <v>112999</v>
      </c>
      <c r="U310" s="276">
        <v>85324</v>
      </c>
      <c r="V310" s="277">
        <v>12300000</v>
      </c>
      <c r="W310" s="277">
        <f t="shared" ref="W310" si="251">V310-Y310</f>
        <v>0</v>
      </c>
      <c r="X310" s="344" t="s">
        <v>113513</v>
      </c>
      <c r="Y310" s="366">
        <v>12300000</v>
      </c>
      <c r="Z310" s="278">
        <f t="shared" ref="Z310" si="252">Y310-R310</f>
        <v>0</v>
      </c>
    </row>
    <row r="311" spans="1:26" x14ac:dyDescent="0.25">
      <c r="B311" s="309" t="s">
        <v>105516</v>
      </c>
      <c r="C311" s="309" t="s">
        <v>105924</v>
      </c>
      <c r="D311" s="309" t="s">
        <v>105520</v>
      </c>
      <c r="E311" s="309" t="s">
        <v>105573</v>
      </c>
      <c r="F311" s="309" t="s">
        <v>105553</v>
      </c>
      <c r="G311" s="309" t="s">
        <v>105544</v>
      </c>
      <c r="H311" s="148"/>
      <c r="I311" s="148"/>
      <c r="J311" s="148"/>
      <c r="K311" s="149"/>
      <c r="L311" s="149"/>
      <c r="M311" s="150" t="s">
        <v>107054</v>
      </c>
      <c r="N311" s="151"/>
      <c r="O311" s="151"/>
      <c r="P311" s="152"/>
      <c r="Q311" s="152"/>
      <c r="R311" s="153">
        <f>SUM(R312+R316)</f>
        <v>2443034940</v>
      </c>
      <c r="S311" s="153"/>
      <c r="T311" s="153"/>
      <c r="U311" s="153"/>
      <c r="V311" s="398">
        <f t="shared" ref="V311:Z311" si="253">SUM(V312+V316)</f>
        <v>2380216348.9200001</v>
      </c>
      <c r="W311" s="153">
        <f t="shared" si="253"/>
        <v>549503099.21000004</v>
      </c>
      <c r="X311" s="153"/>
      <c r="Y311" s="153">
        <f t="shared" si="253"/>
        <v>1830713249.71</v>
      </c>
      <c r="Z311" s="153">
        <f t="shared" si="253"/>
        <v>-612321690.28999996</v>
      </c>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92">
        <f t="shared" ref="V312:W312" si="254">SUM(V313:V315)</f>
        <v>312420460</v>
      </c>
      <c r="W312" s="81">
        <f t="shared" si="254"/>
        <v>78474780</v>
      </c>
      <c r="X312" s="339"/>
      <c r="Y312" s="81">
        <f t="shared" ref="Y312:Z312" si="255">SUM(Y313:Y315)</f>
        <v>233945680</v>
      </c>
      <c r="Z312" s="81">
        <f t="shared" si="255"/>
        <v>-96966362.599999994</v>
      </c>
    </row>
    <row r="313" spans="1:26"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6">
        <v>164940000</v>
      </c>
      <c r="T313" s="160" t="s">
        <v>112999</v>
      </c>
      <c r="U313" s="276">
        <v>27624</v>
      </c>
      <c r="V313" s="277">
        <v>104518586</v>
      </c>
      <c r="W313" s="277">
        <f t="shared" ref="W313:W315" si="256">V313-Y313</f>
        <v>26158260</v>
      </c>
      <c r="X313" s="344" t="s">
        <v>113429</v>
      </c>
      <c r="Y313" s="366">
        <v>78360326</v>
      </c>
      <c r="Z313" s="278">
        <f t="shared" ref="Z313:Z315" si="257">Y313-R313</f>
        <v>-35703154</v>
      </c>
    </row>
    <row r="314" spans="1:26" ht="77.25" customHeight="1" x14ac:dyDescent="0.25">
      <c r="B314" s="84"/>
      <c r="C314" s="85"/>
      <c r="D314" s="85"/>
      <c r="E314" s="85"/>
      <c r="F314" s="85"/>
      <c r="G314" s="85"/>
      <c r="H314" s="85"/>
      <c r="I314" s="85"/>
      <c r="J314" s="86"/>
      <c r="K314" s="86"/>
      <c r="L314" s="87">
        <v>92121500</v>
      </c>
      <c r="M314" s="88" t="s">
        <v>113477</v>
      </c>
      <c r="N314" s="89">
        <v>45544</v>
      </c>
      <c r="O314" s="89" t="s">
        <v>113074</v>
      </c>
      <c r="P314" s="90" t="s">
        <v>113475</v>
      </c>
      <c r="Q314" s="90" t="s">
        <v>113478</v>
      </c>
      <c r="R314" s="91">
        <v>52316520</v>
      </c>
      <c r="S314" s="92"/>
      <c r="T314" s="93" t="s">
        <v>112999</v>
      </c>
      <c r="U314" s="276">
        <v>81624</v>
      </c>
      <c r="V314" s="277">
        <v>52316520</v>
      </c>
      <c r="W314" s="277">
        <f t="shared" si="256"/>
        <v>52316520</v>
      </c>
      <c r="X314" s="344"/>
      <c r="Y314" s="366"/>
      <c r="Z314" s="278">
        <f t="shared" si="257"/>
        <v>-52316520</v>
      </c>
    </row>
    <row r="315" spans="1:26" ht="45" x14ac:dyDescent="0.25">
      <c r="B315" s="124"/>
      <c r="C315" s="125"/>
      <c r="D315" s="125"/>
      <c r="E315" s="125"/>
      <c r="F315" s="125"/>
      <c r="G315" s="125"/>
      <c r="H315" s="125"/>
      <c r="I315" s="125"/>
      <c r="J315" s="126"/>
      <c r="K315" s="126"/>
      <c r="L315" s="176">
        <v>92121500</v>
      </c>
      <c r="M315" s="120" t="s">
        <v>113245</v>
      </c>
      <c r="N315" s="89"/>
      <c r="O315" s="89"/>
      <c r="P315" s="121"/>
      <c r="Q315" s="90"/>
      <c r="R315" s="91">
        <v>164532042.59999999</v>
      </c>
      <c r="S315" s="178"/>
      <c r="T315" s="93" t="s">
        <v>112999</v>
      </c>
      <c r="U315" s="276">
        <v>824</v>
      </c>
      <c r="V315" s="277">
        <v>155585354</v>
      </c>
      <c r="W315" s="277">
        <f t="shared" si="256"/>
        <v>0</v>
      </c>
      <c r="X315" s="344" t="s">
        <v>113426</v>
      </c>
      <c r="Y315" s="366">
        <v>155585354</v>
      </c>
      <c r="Z315" s="278">
        <f t="shared" si="257"/>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92">
        <f t="shared" ref="V316:W316" si="258">SUM(V317:V326)</f>
        <v>2067795888.9200001</v>
      </c>
      <c r="W316" s="81">
        <f t="shared" si="258"/>
        <v>471028319.21000004</v>
      </c>
      <c r="X316" s="339"/>
      <c r="Y316" s="81">
        <f t="shared" ref="Y316:Z316" si="259">SUM(Y317:Y326)</f>
        <v>1596767569.71</v>
      </c>
      <c r="Z316" s="81">
        <f t="shared" si="259"/>
        <v>-515355327.69</v>
      </c>
    </row>
    <row r="317" spans="1:26"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6">
        <v>624</v>
      </c>
      <c r="V317" s="277">
        <v>574064000</v>
      </c>
      <c r="W317" s="277">
        <f t="shared" ref="W317:W326" si="260">V317-Y317</f>
        <v>3015.8500000238419</v>
      </c>
      <c r="X317" s="344" t="s">
        <v>113427</v>
      </c>
      <c r="Y317" s="366">
        <v>574060984.14999998</v>
      </c>
      <c r="Z317" s="278">
        <f t="shared" ref="Z317:Z326" si="261">Y317-R317</f>
        <v>-3015.8500000238419</v>
      </c>
    </row>
    <row r="318" spans="1:26"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6" t="s">
        <v>113294</v>
      </c>
      <c r="V318" s="277">
        <f>31890221.53+21258082.87+21264460.74+21353566.38</f>
        <v>95766331.519999996</v>
      </c>
      <c r="W318" s="277">
        <f t="shared" si="260"/>
        <v>0</v>
      </c>
      <c r="X318" s="344" t="s">
        <v>108475</v>
      </c>
      <c r="Y318" s="366">
        <v>95766331.519999996</v>
      </c>
      <c r="Z318" s="278">
        <f t="shared" si="261"/>
        <v>-2668.4800000041723</v>
      </c>
    </row>
    <row r="319" spans="1:26"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6">
        <v>33524</v>
      </c>
      <c r="V319" s="277">
        <v>778320000</v>
      </c>
      <c r="W319" s="277">
        <f t="shared" si="260"/>
        <v>141442063.65999997</v>
      </c>
      <c r="X319" s="344" t="s">
        <v>113425</v>
      </c>
      <c r="Y319" s="366">
        <v>636877936.34000003</v>
      </c>
      <c r="Z319" s="278">
        <f t="shared" si="261"/>
        <v>-141442063.65999997</v>
      </c>
    </row>
    <row r="320" spans="1:26"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6">
        <v>33724</v>
      </c>
      <c r="V320" s="277">
        <v>143853957.40000001</v>
      </c>
      <c r="W320" s="277">
        <f t="shared" si="260"/>
        <v>3791639.7000000179</v>
      </c>
      <c r="X320" s="344" t="s">
        <v>113428</v>
      </c>
      <c r="Y320" s="366">
        <v>140062317.69999999</v>
      </c>
      <c r="Z320" s="278">
        <f t="shared" si="261"/>
        <v>-3791639.7000000179</v>
      </c>
    </row>
    <row r="321" spans="2:26"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7">
        <v>912780000</v>
      </c>
      <c r="T321" s="93" t="s">
        <v>112999</v>
      </c>
      <c r="U321" s="276"/>
      <c r="V321" s="277"/>
      <c r="W321" s="277">
        <f t="shared" si="260"/>
        <v>0</v>
      </c>
      <c r="X321" s="344"/>
      <c r="Y321" s="366"/>
      <c r="Z321" s="278">
        <f t="shared" si="261"/>
        <v>-9453339.9999999851</v>
      </c>
    </row>
    <row r="322" spans="2:26" ht="77.25" customHeight="1" x14ac:dyDescent="0.25">
      <c r="B322" s="84"/>
      <c r="C322" s="85"/>
      <c r="D322" s="85"/>
      <c r="E322" s="85"/>
      <c r="F322" s="85"/>
      <c r="G322" s="85"/>
      <c r="H322" s="85"/>
      <c r="I322" s="85"/>
      <c r="J322" s="86"/>
      <c r="K322" s="86"/>
      <c r="L322" s="87">
        <v>76111500</v>
      </c>
      <c r="M322" s="88" t="s">
        <v>113479</v>
      </c>
      <c r="N322" s="89">
        <v>45544</v>
      </c>
      <c r="O322" s="89" t="s">
        <v>113074</v>
      </c>
      <c r="P322" s="90" t="s">
        <v>113475</v>
      </c>
      <c r="Q322" s="90" t="s">
        <v>113480</v>
      </c>
      <c r="R322" s="91">
        <f>210490133.33+76541866.67</f>
        <v>287032000</v>
      </c>
      <c r="S322" s="92"/>
      <c r="T322" s="93" t="s">
        <v>112999</v>
      </c>
      <c r="U322" s="276">
        <v>81624</v>
      </c>
      <c r="V322" s="277">
        <v>287032000</v>
      </c>
      <c r="W322" s="277">
        <f t="shared" si="260"/>
        <v>287032000</v>
      </c>
      <c r="X322" s="344"/>
      <c r="Y322" s="366"/>
      <c r="Z322" s="278">
        <f t="shared" si="261"/>
        <v>-287032000</v>
      </c>
    </row>
    <row r="323" spans="2:26"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7">
        <v>168180000</v>
      </c>
      <c r="T323" s="93" t="s">
        <v>112999</v>
      </c>
      <c r="U323" s="276"/>
      <c r="V323" s="277"/>
      <c r="W323" s="277">
        <f t="shared" si="260"/>
        <v>0</v>
      </c>
      <c r="X323" s="344"/>
      <c r="Y323" s="366"/>
      <c r="Z323" s="278">
        <f t="shared" si="261"/>
        <v>0</v>
      </c>
    </row>
    <row r="324" spans="2:26" ht="77.25" customHeight="1" x14ac:dyDescent="0.25">
      <c r="B324" s="84"/>
      <c r="C324" s="85"/>
      <c r="D324" s="85"/>
      <c r="E324" s="85"/>
      <c r="F324" s="85"/>
      <c r="G324" s="85"/>
      <c r="H324" s="85"/>
      <c r="I324" s="85"/>
      <c r="J324" s="86"/>
      <c r="K324" s="86"/>
      <c r="L324" s="87">
        <v>76111500</v>
      </c>
      <c r="M324" s="88" t="s">
        <v>113481</v>
      </c>
      <c r="N324" s="89">
        <v>45544</v>
      </c>
      <c r="O324" s="89" t="s">
        <v>113074</v>
      </c>
      <c r="P324" s="90" t="s">
        <v>113475</v>
      </c>
      <c r="Q324" s="90" t="s">
        <v>113480</v>
      </c>
      <c r="R324" s="91">
        <f>37878700+880900</f>
        <v>38759600</v>
      </c>
      <c r="S324" s="92"/>
      <c r="T324" s="93" t="s">
        <v>112999</v>
      </c>
      <c r="U324" s="276">
        <v>81624</v>
      </c>
      <c r="V324" s="277">
        <v>38759600</v>
      </c>
      <c r="W324" s="277">
        <f t="shared" si="260"/>
        <v>38759600</v>
      </c>
      <c r="X324" s="344"/>
      <c r="Y324" s="366"/>
      <c r="Z324" s="278">
        <f t="shared" si="261"/>
        <v>-38759600</v>
      </c>
    </row>
    <row r="325" spans="2:26"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9"/>
      <c r="V325" s="277"/>
      <c r="W325" s="277">
        <f t="shared" si="260"/>
        <v>0</v>
      </c>
      <c r="X325" s="344"/>
      <c r="Y325" s="366"/>
      <c r="Z325" s="278">
        <f t="shared" si="261"/>
        <v>-34871000</v>
      </c>
    </row>
    <row r="326" spans="2:26"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6">
        <v>31824</v>
      </c>
      <c r="V326" s="277">
        <v>150000000</v>
      </c>
      <c r="W326" s="277">
        <f t="shared" si="260"/>
        <v>0</v>
      </c>
      <c r="X326" s="344" t="s">
        <v>113424</v>
      </c>
      <c r="Y326" s="366">
        <v>150000000</v>
      </c>
      <c r="Z326" s="278">
        <f t="shared" si="261"/>
        <v>0</v>
      </c>
    </row>
    <row r="327" spans="2:26" ht="30" x14ac:dyDescent="0.25">
      <c r="B327" s="309" t="s">
        <v>105516</v>
      </c>
      <c r="C327" s="309" t="s">
        <v>105924</v>
      </c>
      <c r="D327" s="309" t="s">
        <v>105520</v>
      </c>
      <c r="E327" s="309" t="s">
        <v>105573</v>
      </c>
      <c r="F327" s="309" t="s">
        <v>105553</v>
      </c>
      <c r="G327" s="309" t="s">
        <v>105550</v>
      </c>
      <c r="H327" s="148"/>
      <c r="I327" s="148"/>
      <c r="J327" s="148"/>
      <c r="K327" s="149"/>
      <c r="L327" s="149"/>
      <c r="M327" s="150" t="s">
        <v>107092</v>
      </c>
      <c r="N327" s="151"/>
      <c r="O327" s="151" t="s">
        <v>112994</v>
      </c>
      <c r="P327" s="152"/>
      <c r="Q327" s="152"/>
      <c r="R327" s="153">
        <f>+R328</f>
        <v>25008800</v>
      </c>
      <c r="S327" s="153"/>
      <c r="T327" s="153"/>
      <c r="U327" s="153"/>
      <c r="V327" s="398">
        <f t="shared" ref="V327:Z327" si="262">+V328</f>
        <v>23510545.010000002</v>
      </c>
      <c r="W327" s="153">
        <f t="shared" si="262"/>
        <v>0</v>
      </c>
      <c r="X327" s="153"/>
      <c r="Y327" s="153">
        <f t="shared" si="262"/>
        <v>23510545.010000002</v>
      </c>
      <c r="Z327" s="153">
        <f t="shared" si="262"/>
        <v>-1498254.9899999984</v>
      </c>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92">
        <f t="shared" ref="V328:W328" si="263">+V329</f>
        <v>23510545.010000002</v>
      </c>
      <c r="W328" s="81">
        <f t="shared" si="263"/>
        <v>0</v>
      </c>
      <c r="X328" s="339"/>
      <c r="Y328" s="81">
        <f t="shared" ref="Y328:Z328" si="264">+Y329</f>
        <v>23510545.010000002</v>
      </c>
      <c r="Z328" s="81">
        <f t="shared" si="264"/>
        <v>-1498254.9899999984</v>
      </c>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92">
        <f t="shared" ref="V329:W329" si="265">SUM(V330:V331)</f>
        <v>23510545.010000002</v>
      </c>
      <c r="W329" s="81">
        <f t="shared" si="265"/>
        <v>0</v>
      </c>
      <c r="X329" s="339"/>
      <c r="Y329" s="81">
        <f t="shared" ref="Y329:Z329" si="266">SUM(Y330:Y331)</f>
        <v>23510545.010000002</v>
      </c>
      <c r="Z329" s="81">
        <f t="shared" si="266"/>
        <v>-1498254.9899999984</v>
      </c>
    </row>
    <row r="330" spans="2:26"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6">
        <v>41824</v>
      </c>
      <c r="V330" s="277">
        <v>23510545.010000002</v>
      </c>
      <c r="W330" s="277">
        <f t="shared" ref="W330:W331" si="267">V330-Y330</f>
        <v>0</v>
      </c>
      <c r="X330" s="344" t="s">
        <v>113454</v>
      </c>
      <c r="Y330" s="366">
        <v>23510545.010000002</v>
      </c>
      <c r="Z330" s="278">
        <f t="shared" ref="Z330:Z331" si="268">Y330-R330</f>
        <v>-1498254.9899999984</v>
      </c>
    </row>
    <row r="331" spans="2:26"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9"/>
      <c r="V331" s="277"/>
      <c r="W331" s="277">
        <f t="shared" si="267"/>
        <v>0</v>
      </c>
      <c r="X331" s="344"/>
      <c r="Y331" s="366"/>
      <c r="Z331" s="278">
        <f t="shared" si="268"/>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90">
        <f t="shared" ref="V332:W333" si="269">+V333</f>
        <v>0</v>
      </c>
      <c r="W332" s="65">
        <f t="shared" si="269"/>
        <v>0</v>
      </c>
      <c r="X332" s="337"/>
      <c r="Y332" s="65">
        <f t="shared" ref="Y332:Z333" si="270">+Y333</f>
        <v>0</v>
      </c>
      <c r="Z332" s="65">
        <f t="shared" si="270"/>
        <v>-4866000</v>
      </c>
    </row>
    <row r="333" spans="2:26" ht="63.75" customHeight="1" x14ac:dyDescent="0.25">
      <c r="B333" s="309" t="s">
        <v>105516</v>
      </c>
      <c r="C333" s="309" t="s">
        <v>105924</v>
      </c>
      <c r="D333" s="309" t="s">
        <v>105520</v>
      </c>
      <c r="E333" s="309" t="s">
        <v>105573</v>
      </c>
      <c r="F333" s="310" t="s">
        <v>105556</v>
      </c>
      <c r="G333" s="310" t="s">
        <v>105541</v>
      </c>
      <c r="H333" s="148"/>
      <c r="I333" s="148"/>
      <c r="J333" s="148"/>
      <c r="K333" s="149"/>
      <c r="L333" s="149"/>
      <c r="M333" s="150" t="s">
        <v>107192</v>
      </c>
      <c r="N333" s="151"/>
      <c r="O333" s="151"/>
      <c r="P333" s="152"/>
      <c r="Q333" s="152"/>
      <c r="R333" s="153">
        <f>+R334</f>
        <v>4866000</v>
      </c>
      <c r="S333" s="153"/>
      <c r="T333" s="153"/>
      <c r="U333" s="153"/>
      <c r="V333" s="398">
        <f t="shared" si="269"/>
        <v>0</v>
      </c>
      <c r="W333" s="153">
        <f t="shared" si="269"/>
        <v>0</v>
      </c>
      <c r="X333" s="153"/>
      <c r="Y333" s="153">
        <f t="shared" si="270"/>
        <v>0</v>
      </c>
      <c r="Z333" s="153">
        <f t="shared" si="270"/>
        <v>-4866000</v>
      </c>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92">
        <f t="shared" ref="V334:W334" si="271">+V335</f>
        <v>0</v>
      </c>
      <c r="W334" s="81">
        <f t="shared" si="271"/>
        <v>0</v>
      </c>
      <c r="X334" s="339"/>
      <c r="Y334" s="81">
        <f t="shared" ref="Y334:Z334" si="272">+Y335</f>
        <v>0</v>
      </c>
      <c r="Z334" s="81">
        <f t="shared" si="272"/>
        <v>-4866000</v>
      </c>
    </row>
    <row r="335" spans="2:26"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9"/>
      <c r="V335" s="277"/>
      <c r="W335" s="277">
        <f t="shared" ref="W335" si="273">V335-Y335</f>
        <v>0</v>
      </c>
      <c r="X335" s="344"/>
      <c r="Y335" s="366"/>
      <c r="Z335" s="278">
        <f>Y335-R335</f>
        <v>-4866000</v>
      </c>
    </row>
    <row r="336" spans="2:26" x14ac:dyDescent="0.25">
      <c r="B336" s="290" t="s">
        <v>105516</v>
      </c>
      <c r="C336" s="290" t="s">
        <v>106103</v>
      </c>
      <c r="D336" s="290"/>
      <c r="E336" s="290"/>
      <c r="F336" s="290"/>
      <c r="G336" s="290"/>
      <c r="H336" s="290"/>
      <c r="I336" s="290"/>
      <c r="J336" s="290"/>
      <c r="K336" s="180"/>
      <c r="L336" s="181"/>
      <c r="M336" s="182" t="s">
        <v>112750</v>
      </c>
      <c r="N336" s="183"/>
      <c r="O336" s="183" t="s">
        <v>112994</v>
      </c>
      <c r="P336" s="184"/>
      <c r="Q336" s="184"/>
      <c r="R336" s="410">
        <f>R337+R342</f>
        <v>2578000000</v>
      </c>
      <c r="S336" s="296"/>
      <c r="T336" s="296"/>
      <c r="U336" s="296"/>
      <c r="V336" s="384">
        <f>V337+V342</f>
        <v>1213182970.3200002</v>
      </c>
      <c r="W336" s="384">
        <f t="shared" ref="V336:Z336" si="274">W337+W342</f>
        <v>26428916</v>
      </c>
      <c r="X336" s="296"/>
      <c r="Y336" s="384">
        <f t="shared" si="274"/>
        <v>1186754054.3200002</v>
      </c>
      <c r="Z336" s="384">
        <f t="shared" si="274"/>
        <v>-1391245945.6799998</v>
      </c>
    </row>
    <row r="337" spans="2:26" x14ac:dyDescent="0.25">
      <c r="B337" s="290" t="s">
        <v>105516</v>
      </c>
      <c r="C337" s="290" t="s">
        <v>106103</v>
      </c>
      <c r="D337" s="290" t="s">
        <v>105520</v>
      </c>
      <c r="E337" s="290"/>
      <c r="F337" s="290"/>
      <c r="G337" s="290"/>
      <c r="H337" s="290"/>
      <c r="I337" s="290"/>
      <c r="J337" s="290"/>
      <c r="K337" s="180"/>
      <c r="L337" s="181"/>
      <c r="M337" s="182" t="s">
        <v>113308</v>
      </c>
      <c r="N337" s="183"/>
      <c r="O337" s="183" t="s">
        <v>112994</v>
      </c>
      <c r="P337" s="184"/>
      <c r="Q337" s="184"/>
      <c r="R337" s="410">
        <f>R338+R340</f>
        <v>158000000</v>
      </c>
      <c r="S337" s="296"/>
      <c r="T337" s="296"/>
      <c r="U337" s="296"/>
      <c r="V337" s="384">
        <f t="shared" ref="V337:Z337" si="275">V338+V340</f>
        <v>158000000</v>
      </c>
      <c r="W337" s="384">
        <f t="shared" si="275"/>
        <v>26428916</v>
      </c>
      <c r="X337" s="296"/>
      <c r="Y337" s="384">
        <f t="shared" si="275"/>
        <v>131571084</v>
      </c>
      <c r="Z337" s="384">
        <f t="shared" si="275"/>
        <v>-26428916</v>
      </c>
    </row>
    <row r="338" spans="2:26" x14ac:dyDescent="0.25">
      <c r="B338" s="308" t="s">
        <v>105516</v>
      </c>
      <c r="C338" s="308" t="s">
        <v>106103</v>
      </c>
      <c r="D338" s="308" t="s">
        <v>105520</v>
      </c>
      <c r="E338" s="308" t="s">
        <v>105520</v>
      </c>
      <c r="F338" s="275"/>
      <c r="G338" s="275"/>
      <c r="H338" s="275"/>
      <c r="I338" s="275"/>
      <c r="J338" s="275"/>
      <c r="K338" s="185"/>
      <c r="L338" s="185"/>
      <c r="M338" s="186" t="s">
        <v>112754</v>
      </c>
      <c r="N338" s="187"/>
      <c r="O338" s="187" t="s">
        <v>112994</v>
      </c>
      <c r="P338" s="188"/>
      <c r="Q338" s="188"/>
      <c r="R338" s="189">
        <f>+R339</f>
        <v>71000000</v>
      </c>
      <c r="S338" s="189"/>
      <c r="T338" s="189"/>
      <c r="U338" s="189"/>
      <c r="V338" s="385">
        <f t="shared" ref="V338:Z342" si="276">+V339</f>
        <v>71000000</v>
      </c>
      <c r="W338" s="385">
        <f t="shared" si="276"/>
        <v>11928916</v>
      </c>
      <c r="X338" s="189"/>
      <c r="Y338" s="385">
        <f t="shared" si="276"/>
        <v>59071084</v>
      </c>
      <c r="Z338" s="385">
        <f t="shared" si="276"/>
        <v>-11928916</v>
      </c>
    </row>
    <row r="339" spans="2:26" x14ac:dyDescent="0.25">
      <c r="B339" s="294"/>
      <c r="C339" s="294"/>
      <c r="D339" s="294"/>
      <c r="E339" s="294"/>
      <c r="F339" s="292"/>
      <c r="G339" s="292"/>
      <c r="H339" s="292"/>
      <c r="I339" s="292"/>
      <c r="J339" s="292"/>
      <c r="K339" s="86" t="s">
        <v>112751</v>
      </c>
      <c r="L339" s="192"/>
      <c r="M339" s="97" t="s">
        <v>112754</v>
      </c>
      <c r="N339" s="90"/>
      <c r="O339" s="90"/>
      <c r="P339" s="90"/>
      <c r="Q339" s="90"/>
      <c r="R339" s="91">
        <f>71000000</f>
        <v>71000000</v>
      </c>
      <c r="S339" s="174"/>
      <c r="T339" s="175" t="s">
        <v>113010</v>
      </c>
      <c r="U339" s="276">
        <v>6424</v>
      </c>
      <c r="V339" s="277">
        <v>71000000</v>
      </c>
      <c r="W339" s="277">
        <f t="shared" ref="W339" si="277">V339-Y339</f>
        <v>11928916</v>
      </c>
      <c r="X339" s="344" t="s">
        <v>113430</v>
      </c>
      <c r="Y339" s="386">
        <f>58374572+696512</f>
        <v>59071084</v>
      </c>
      <c r="Z339" s="278">
        <f>Y339-R339</f>
        <v>-11928916</v>
      </c>
    </row>
    <row r="340" spans="2:26" x14ac:dyDescent="0.25">
      <c r="B340" s="308" t="s">
        <v>105516</v>
      </c>
      <c r="C340" s="308" t="s">
        <v>106103</v>
      </c>
      <c r="D340" s="308" t="s">
        <v>105520</v>
      </c>
      <c r="E340" s="308" t="s">
        <v>105573</v>
      </c>
      <c r="F340" s="275"/>
      <c r="G340" s="275"/>
      <c r="H340" s="275"/>
      <c r="I340" s="275"/>
      <c r="J340" s="275"/>
      <c r="K340" s="185"/>
      <c r="L340" s="185"/>
      <c r="M340" s="186" t="s">
        <v>112756</v>
      </c>
      <c r="N340" s="187"/>
      <c r="O340" s="187" t="s">
        <v>112994</v>
      </c>
      <c r="P340" s="188"/>
      <c r="Q340" s="188"/>
      <c r="R340" s="411">
        <f>R341</f>
        <v>87000000</v>
      </c>
      <c r="S340" s="190"/>
      <c r="T340" s="191"/>
      <c r="U340" s="191"/>
      <c r="V340" s="385">
        <f t="shared" si="276"/>
        <v>87000000</v>
      </c>
      <c r="W340" s="385">
        <f t="shared" si="276"/>
        <v>14500000</v>
      </c>
      <c r="X340" s="189"/>
      <c r="Y340" s="385">
        <f t="shared" si="276"/>
        <v>72500000</v>
      </c>
      <c r="Z340" s="385">
        <f t="shared" si="276"/>
        <v>-14500000</v>
      </c>
    </row>
    <row r="341" spans="2:26" x14ac:dyDescent="0.25">
      <c r="B341" s="381"/>
      <c r="C341" s="382"/>
      <c r="D341" s="382"/>
      <c r="E341" s="382"/>
      <c r="F341" s="382"/>
      <c r="G341" s="382"/>
      <c r="H341" s="382"/>
      <c r="I341" s="382"/>
      <c r="J341" s="382"/>
      <c r="K341" s="382"/>
      <c r="L341" s="383"/>
      <c r="M341" s="97" t="s">
        <v>112756</v>
      </c>
      <c r="N341" s="90"/>
      <c r="O341" s="90"/>
      <c r="P341" s="90"/>
      <c r="Q341" s="90"/>
      <c r="R341" s="94">
        <f>47000000+40000000</f>
        <v>87000000</v>
      </c>
      <c r="S341" s="174"/>
      <c r="T341" s="175" t="s">
        <v>113010</v>
      </c>
      <c r="U341" s="276">
        <v>6424</v>
      </c>
      <c r="V341" s="277">
        <f>47000000+40000000</f>
        <v>87000000</v>
      </c>
      <c r="W341" s="277">
        <f t="shared" ref="W341" si="278">V341-Y341</f>
        <v>14500000</v>
      </c>
      <c r="X341" s="344" t="s">
        <v>113431</v>
      </c>
      <c r="Y341" s="386">
        <f>62500000+10000000</f>
        <v>72500000</v>
      </c>
      <c r="Z341" s="278">
        <f>Y341-R341</f>
        <v>-14500000</v>
      </c>
    </row>
    <row r="342" spans="2:26" x14ac:dyDescent="0.25">
      <c r="B342" s="308" t="s">
        <v>105516</v>
      </c>
      <c r="C342" s="308" t="s">
        <v>106103</v>
      </c>
      <c r="D342" s="308" t="s">
        <v>105675</v>
      </c>
      <c r="E342" s="275"/>
      <c r="F342" s="275"/>
      <c r="G342" s="275"/>
      <c r="H342" s="275"/>
      <c r="I342" s="275"/>
      <c r="J342" s="275"/>
      <c r="K342" s="185"/>
      <c r="L342" s="185"/>
      <c r="M342" s="186" t="s">
        <v>112762</v>
      </c>
      <c r="N342" s="187"/>
      <c r="O342" s="187" t="s">
        <v>112994</v>
      </c>
      <c r="P342" s="188"/>
      <c r="Q342" s="188"/>
      <c r="R342" s="189">
        <f>+R343</f>
        <v>2420000000</v>
      </c>
      <c r="S342" s="190"/>
      <c r="T342" s="191"/>
      <c r="U342" s="191"/>
      <c r="V342" s="385">
        <f t="shared" si="276"/>
        <v>1055182970.3200001</v>
      </c>
      <c r="W342" s="385">
        <f t="shared" si="276"/>
        <v>0</v>
      </c>
      <c r="X342" s="189"/>
      <c r="Y342" s="385">
        <f t="shared" si="276"/>
        <v>1055182970.3200001</v>
      </c>
      <c r="Z342" s="385">
        <f t="shared" si="276"/>
        <v>-1364817029.6799998</v>
      </c>
    </row>
    <row r="343" spans="2:26" x14ac:dyDescent="0.25">
      <c r="B343" s="291"/>
      <c r="C343" s="292"/>
      <c r="D343" s="292"/>
      <c r="E343" s="292"/>
      <c r="F343" s="292"/>
      <c r="G343" s="292"/>
      <c r="H343" s="292"/>
      <c r="I343" s="292"/>
      <c r="J343" s="293"/>
      <c r="K343" s="86" t="s">
        <v>112761</v>
      </c>
      <c r="L343" s="192"/>
      <c r="M343" s="97" t="s">
        <v>113137</v>
      </c>
      <c r="N343" s="90"/>
      <c r="O343" s="90" t="s">
        <v>113029</v>
      </c>
      <c r="P343" s="90"/>
      <c r="Q343" s="90"/>
      <c r="R343" s="91">
        <f>5600000000-2280000000-900000000</f>
        <v>2420000000</v>
      </c>
      <c r="S343" s="174"/>
      <c r="T343" s="175" t="s">
        <v>113061</v>
      </c>
      <c r="U343" s="276" t="s">
        <v>113293</v>
      </c>
      <c r="V343" s="370">
        <v>1055182970.3200001</v>
      </c>
      <c r="W343" s="277">
        <f t="shared" ref="W343" si="279">V343-Y343</f>
        <v>0</v>
      </c>
      <c r="X343" s="344" t="s">
        <v>113356</v>
      </c>
      <c r="Y343" s="370">
        <v>1055182970.3200001</v>
      </c>
      <c r="Z343" s="278">
        <f>Y343-R343</f>
        <v>-1364817029.6799998</v>
      </c>
    </row>
    <row r="344" spans="2:26"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3792000000</v>
      </c>
      <c r="S344" s="199"/>
      <c r="T344" s="199"/>
      <c r="U344" s="199"/>
      <c r="V344" s="399">
        <f t="shared" ref="V344:W344" si="280">V345</f>
        <v>3543842425</v>
      </c>
      <c r="W344" s="199">
        <f t="shared" si="280"/>
        <v>0</v>
      </c>
      <c r="X344" s="199"/>
      <c r="Y344" s="199">
        <f t="shared" ref="Y344:Z344" si="281">Y345</f>
        <v>3543842425</v>
      </c>
      <c r="Z344" s="199">
        <f t="shared" si="281"/>
        <v>-13157575</v>
      </c>
    </row>
    <row r="345" spans="2:26"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3557000000</v>
      </c>
      <c r="S345" s="205"/>
      <c r="T345" s="205"/>
      <c r="U345" s="205"/>
      <c r="V345" s="400">
        <f t="shared" ref="V345:W345" si="282">V346</f>
        <v>3543842425</v>
      </c>
      <c r="W345" s="205">
        <f t="shared" si="282"/>
        <v>0</v>
      </c>
      <c r="X345" s="205"/>
      <c r="Y345" s="205">
        <f t="shared" ref="Y345:Z345" si="283">Y346</f>
        <v>3543842425</v>
      </c>
      <c r="Z345" s="205">
        <f t="shared" si="283"/>
        <v>-13157575</v>
      </c>
    </row>
    <row r="346" spans="2:26"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3557000000</v>
      </c>
      <c r="S346" s="211"/>
      <c r="T346" s="211"/>
      <c r="U346" s="211"/>
      <c r="V346" s="401">
        <f t="shared" ref="V346:W346" si="284">V347+V349+V351</f>
        <v>3543842425</v>
      </c>
      <c r="W346" s="211">
        <f t="shared" si="284"/>
        <v>0</v>
      </c>
      <c r="X346" s="211"/>
      <c r="Y346" s="211">
        <f t="shared" ref="Y346:Z346" si="285">Y347+Y349+Y351</f>
        <v>3543842425</v>
      </c>
      <c r="Z346" s="211">
        <f t="shared" si="285"/>
        <v>-13157575</v>
      </c>
    </row>
    <row r="347" spans="2:26" x14ac:dyDescent="0.25">
      <c r="B347" s="309" t="s">
        <v>105516</v>
      </c>
      <c r="C347" s="309" t="s">
        <v>106106</v>
      </c>
      <c r="D347" s="309" t="s">
        <v>105520</v>
      </c>
      <c r="E347" s="309" t="s">
        <v>105573</v>
      </c>
      <c r="F347" s="309" t="s">
        <v>105528</v>
      </c>
      <c r="G347" s="213"/>
      <c r="H347" s="213"/>
      <c r="I347" s="213"/>
      <c r="J347" s="213"/>
      <c r="K347" s="61"/>
      <c r="L347" s="61"/>
      <c r="M347" s="62" t="s">
        <v>112782</v>
      </c>
      <c r="N347" s="63"/>
      <c r="O347" s="63" t="s">
        <v>112994</v>
      </c>
      <c r="P347" s="64"/>
      <c r="Q347" s="64"/>
      <c r="R347" s="65">
        <f>+R348</f>
        <v>3463000000</v>
      </c>
      <c r="S347" s="66"/>
      <c r="T347" s="67"/>
      <c r="U347" s="67"/>
      <c r="V347" s="390">
        <f t="shared" ref="V347:W347" si="286">+V348</f>
        <v>3456538657</v>
      </c>
      <c r="W347" s="65">
        <f t="shared" si="286"/>
        <v>0</v>
      </c>
      <c r="X347" s="353"/>
      <c r="Y347" s="65">
        <f t="shared" ref="Y347:Z347" si="287">+Y348</f>
        <v>3456538657</v>
      </c>
      <c r="Z347" s="65">
        <f t="shared" si="287"/>
        <v>-6461343</v>
      </c>
    </row>
    <row r="348" spans="2:26"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f>3563000000-100000000</f>
        <v>3463000000</v>
      </c>
      <c r="S348" s="214"/>
      <c r="T348" s="175"/>
      <c r="U348" s="276">
        <v>12524</v>
      </c>
      <c r="V348" s="277">
        <v>3456538657</v>
      </c>
      <c r="W348" s="277">
        <f t="shared" ref="W348" si="288">V348-Y348</f>
        <v>0</v>
      </c>
      <c r="X348" s="344" t="s">
        <v>113432</v>
      </c>
      <c r="Y348" s="366">
        <v>3456538657</v>
      </c>
      <c r="Z348" s="278">
        <f>Y348-R348</f>
        <v>-6461343</v>
      </c>
    </row>
    <row r="349" spans="2:26" x14ac:dyDescent="0.25">
      <c r="B349" s="309" t="s">
        <v>105516</v>
      </c>
      <c r="C349" s="309" t="s">
        <v>106106</v>
      </c>
      <c r="D349" s="309" t="s">
        <v>105520</v>
      </c>
      <c r="E349" s="309" t="s">
        <v>105573</v>
      </c>
      <c r="F349" s="309" t="s">
        <v>105538</v>
      </c>
      <c r="G349" s="213"/>
      <c r="H349" s="213"/>
      <c r="I349" s="213"/>
      <c r="J349" s="213"/>
      <c r="K349" s="61"/>
      <c r="L349" s="61"/>
      <c r="M349" s="62" t="s">
        <v>112786</v>
      </c>
      <c r="N349" s="63"/>
      <c r="O349" s="63" t="s">
        <v>112994</v>
      </c>
      <c r="P349" s="64"/>
      <c r="Q349" s="64"/>
      <c r="R349" s="65">
        <f>+R350</f>
        <v>90000000</v>
      </c>
      <c r="S349" s="66"/>
      <c r="T349" s="67"/>
      <c r="U349" s="67"/>
      <c r="V349" s="390">
        <f t="shared" ref="V349:W349" si="289">+V350</f>
        <v>86986504</v>
      </c>
      <c r="W349" s="65">
        <f t="shared" si="289"/>
        <v>0</v>
      </c>
      <c r="X349" s="353"/>
      <c r="Y349" s="65">
        <f t="shared" ref="Y349:Z349" si="290">+Y350</f>
        <v>86986504</v>
      </c>
      <c r="Z349" s="65">
        <f t="shared" si="290"/>
        <v>-3013496</v>
      </c>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30" t="s">
        <v>113352</v>
      </c>
      <c r="V350" s="277">
        <f>62572236+24414268</f>
        <v>86986504</v>
      </c>
      <c r="W350" s="277">
        <f t="shared" ref="W350" si="291">V350-Y350</f>
        <v>0</v>
      </c>
      <c r="X350" s="344" t="s">
        <v>113357</v>
      </c>
      <c r="Y350" s="277">
        <f>62572236+24414268</f>
        <v>86986504</v>
      </c>
      <c r="Z350" s="278">
        <f>Y350-R350</f>
        <v>-3013496</v>
      </c>
    </row>
    <row r="351" spans="2:26" x14ac:dyDescent="0.25">
      <c r="B351" s="309" t="s">
        <v>105516</v>
      </c>
      <c r="C351" s="309" t="s">
        <v>106106</v>
      </c>
      <c r="D351" s="309" t="s">
        <v>105520</v>
      </c>
      <c r="E351" s="309" t="s">
        <v>105573</v>
      </c>
      <c r="F351" s="309" t="s">
        <v>105547</v>
      </c>
      <c r="G351" s="213"/>
      <c r="H351" s="213"/>
      <c r="I351" s="213"/>
      <c r="J351" s="213"/>
      <c r="K351" s="61"/>
      <c r="L351" s="61"/>
      <c r="M351" s="62" t="s">
        <v>112792</v>
      </c>
      <c r="N351" s="63"/>
      <c r="O351" s="63" t="s">
        <v>112994</v>
      </c>
      <c r="P351" s="64"/>
      <c r="Q351" s="64"/>
      <c r="R351" s="65">
        <f>+R352</f>
        <v>4000000</v>
      </c>
      <c r="S351" s="66"/>
      <c r="T351" s="67"/>
      <c r="U351" s="67"/>
      <c r="V351" s="390">
        <f t="shared" ref="V351:W351" si="292">+V352</f>
        <v>317264</v>
      </c>
      <c r="W351" s="65">
        <f t="shared" si="292"/>
        <v>0</v>
      </c>
      <c r="X351" s="353"/>
      <c r="Y351" s="65">
        <f t="shared" ref="Y351:Z351" si="293">+Y352</f>
        <v>317264</v>
      </c>
      <c r="Z351" s="65">
        <f t="shared" si="293"/>
        <v>-3682736</v>
      </c>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6">
        <v>39824</v>
      </c>
      <c r="V352" s="277">
        <v>317264</v>
      </c>
      <c r="W352" s="277">
        <f t="shared" ref="W352" si="294">V352-Y352</f>
        <v>0</v>
      </c>
      <c r="X352" s="344" t="s">
        <v>113433</v>
      </c>
      <c r="Y352" s="366">
        <v>317264</v>
      </c>
      <c r="Z352" s="278">
        <f>Y352-R352</f>
        <v>-3682736</v>
      </c>
    </row>
    <row r="353" spans="2:27"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400"/>
      <c r="W353" s="205"/>
      <c r="X353" s="205"/>
      <c r="Y353" s="205"/>
      <c r="Z353" s="205"/>
    </row>
    <row r="354" spans="2:27" x14ac:dyDescent="0.25">
      <c r="B354" s="309" t="s">
        <v>105516</v>
      </c>
      <c r="C354" s="309" t="s">
        <v>106106</v>
      </c>
      <c r="D354" s="309" t="s">
        <v>105917</v>
      </c>
      <c r="E354" s="309" t="s">
        <v>105520</v>
      </c>
      <c r="F354" s="206"/>
      <c r="G354" s="206"/>
      <c r="H354" s="206"/>
      <c r="I354" s="206"/>
      <c r="J354" s="206"/>
      <c r="K354" s="215" t="s">
        <v>112805</v>
      </c>
      <c r="L354" s="207"/>
      <c r="M354" s="208" t="s">
        <v>112806</v>
      </c>
      <c r="N354" s="209" t="s">
        <v>112994</v>
      </c>
      <c r="O354" s="209" t="s">
        <v>113029</v>
      </c>
      <c r="P354" s="210"/>
      <c r="Q354" s="210"/>
      <c r="R354" s="216">
        <v>136000000</v>
      </c>
      <c r="S354" s="217"/>
      <c r="T354" s="212"/>
      <c r="U354" s="212"/>
      <c r="V354" s="327"/>
      <c r="W354" s="327"/>
      <c r="X354" s="352"/>
      <c r="Y354" s="368"/>
      <c r="Z354" s="212"/>
    </row>
    <row r="355" spans="2:27" x14ac:dyDescent="0.25">
      <c r="B355" s="309" t="s">
        <v>105516</v>
      </c>
      <c r="C355" s="309" t="s">
        <v>106106</v>
      </c>
      <c r="D355" s="309" t="s">
        <v>105917</v>
      </c>
      <c r="E355" s="309" t="s">
        <v>105917</v>
      </c>
      <c r="F355" s="206"/>
      <c r="G355" s="206"/>
      <c r="H355" s="206"/>
      <c r="I355" s="206"/>
      <c r="J355" s="206"/>
      <c r="K355" s="215" t="s">
        <v>112811</v>
      </c>
      <c r="L355" s="207"/>
      <c r="M355" s="208" t="s">
        <v>113139</v>
      </c>
      <c r="N355" s="209"/>
      <c r="O355" s="209"/>
      <c r="P355" s="210"/>
      <c r="Q355" s="210"/>
      <c r="R355" s="216">
        <f>246000000-200000000</f>
        <v>46000000</v>
      </c>
      <c r="S355" s="217"/>
      <c r="T355" s="212"/>
      <c r="U355" s="212"/>
      <c r="V355" s="327"/>
      <c r="W355" s="327"/>
      <c r="X355" s="352"/>
      <c r="Y355" s="368"/>
      <c r="Z355" s="212"/>
    </row>
    <row r="356" spans="2:27" x14ac:dyDescent="0.25">
      <c r="B356" s="200" t="s">
        <v>105516</v>
      </c>
      <c r="C356" s="200" t="s">
        <v>106106</v>
      </c>
      <c r="D356" s="218"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400"/>
      <c r="W356" s="205"/>
      <c r="X356" s="205"/>
      <c r="Y356" s="205"/>
      <c r="Z356" s="205"/>
    </row>
    <row r="357" spans="2:27" x14ac:dyDescent="0.25">
      <c r="B357" s="206" t="s">
        <v>105516</v>
      </c>
      <c r="C357" s="206" t="s">
        <v>106106</v>
      </c>
      <c r="D357" s="219" t="s">
        <v>105924</v>
      </c>
      <c r="E357" s="206"/>
      <c r="F357" s="206"/>
      <c r="G357" s="206"/>
      <c r="H357" s="206"/>
      <c r="I357" s="206"/>
      <c r="J357" s="206"/>
      <c r="K357" s="207"/>
      <c r="L357" s="207"/>
      <c r="M357" s="208" t="s">
        <v>112822</v>
      </c>
      <c r="N357" s="209" t="s">
        <v>112994</v>
      </c>
      <c r="O357" s="209" t="s">
        <v>113029</v>
      </c>
      <c r="P357" s="210"/>
      <c r="Q357" s="210"/>
      <c r="R357" s="216">
        <f>R358+R360</f>
        <v>53000000</v>
      </c>
      <c r="S357" s="217"/>
      <c r="T357" s="212"/>
      <c r="U357" s="212"/>
      <c r="V357" s="327"/>
      <c r="W357" s="327"/>
      <c r="X357" s="352"/>
      <c r="Y357" s="368"/>
      <c r="Z357" s="212"/>
    </row>
    <row r="358" spans="2:27" x14ac:dyDescent="0.25">
      <c r="B358" s="232" t="s">
        <v>105516</v>
      </c>
      <c r="C358" s="232" t="s">
        <v>106106</v>
      </c>
      <c r="D358" s="299" t="s">
        <v>105924</v>
      </c>
      <c r="E358" s="300" t="s">
        <v>105520</v>
      </c>
      <c r="F358" s="232"/>
      <c r="G358" s="232"/>
      <c r="H358" s="232"/>
      <c r="I358" s="232"/>
      <c r="J358" s="232"/>
      <c r="K358" s="233"/>
      <c r="L358" s="233"/>
      <c r="M358" s="234" t="s">
        <v>112824</v>
      </c>
      <c r="N358" s="235" t="s">
        <v>112994</v>
      </c>
      <c r="O358" s="235" t="s">
        <v>113029</v>
      </c>
      <c r="P358" s="236"/>
      <c r="Q358" s="236"/>
      <c r="R358" s="301">
        <f>R359</f>
        <v>40000000</v>
      </c>
      <c r="S358" s="302"/>
      <c r="T358" s="302"/>
      <c r="U358" s="302"/>
      <c r="V358" s="402"/>
      <c r="W358" s="302"/>
      <c r="X358" s="302"/>
      <c r="Y358" s="302"/>
      <c r="Z358" s="302"/>
    </row>
    <row r="359" spans="2:27" x14ac:dyDescent="0.25">
      <c r="B359" s="309" t="s">
        <v>105516</v>
      </c>
      <c r="C359" s="309" t="s">
        <v>106106</v>
      </c>
      <c r="D359" s="312" t="s">
        <v>105924</v>
      </c>
      <c r="E359" s="310" t="s">
        <v>105520</v>
      </c>
      <c r="F359" s="310" t="s">
        <v>105538</v>
      </c>
      <c r="G359" s="206"/>
      <c r="H359" s="206"/>
      <c r="I359" s="206"/>
      <c r="J359" s="206"/>
      <c r="K359" s="207"/>
      <c r="L359" s="207"/>
      <c r="M359" s="208" t="s">
        <v>112830</v>
      </c>
      <c r="N359" s="209" t="s">
        <v>112994</v>
      </c>
      <c r="O359" s="209" t="s">
        <v>113029</v>
      </c>
      <c r="P359" s="210"/>
      <c r="Q359" s="210"/>
      <c r="R359" s="216">
        <v>40000000</v>
      </c>
      <c r="S359" s="217"/>
      <c r="T359" s="212"/>
      <c r="U359" s="212"/>
      <c r="V359" s="327"/>
      <c r="W359" s="327"/>
      <c r="X359" s="352"/>
      <c r="Y359" s="368"/>
      <c r="Z359" s="212"/>
    </row>
    <row r="360" spans="2:27" x14ac:dyDescent="0.25">
      <c r="B360" s="232" t="s">
        <v>105516</v>
      </c>
      <c r="C360" s="232" t="s">
        <v>106106</v>
      </c>
      <c r="D360" s="299" t="s">
        <v>105924</v>
      </c>
      <c r="E360" s="300" t="s">
        <v>105573</v>
      </c>
      <c r="F360" s="300"/>
      <c r="G360" s="232"/>
      <c r="H360" s="232"/>
      <c r="I360" s="232"/>
      <c r="J360" s="232"/>
      <c r="K360" s="233"/>
      <c r="L360" s="233"/>
      <c r="M360" s="234" t="s">
        <v>112832</v>
      </c>
      <c r="N360" s="235" t="s">
        <v>112994</v>
      </c>
      <c r="O360" s="235" t="s">
        <v>113029</v>
      </c>
      <c r="P360" s="236"/>
      <c r="Q360" s="236"/>
      <c r="R360" s="301">
        <f>R361</f>
        <v>13000000</v>
      </c>
      <c r="S360" s="302"/>
      <c r="T360" s="302"/>
      <c r="U360" s="302"/>
      <c r="V360" s="402"/>
      <c r="W360" s="302"/>
      <c r="X360" s="302"/>
      <c r="Y360" s="302"/>
      <c r="Z360" s="302"/>
    </row>
    <row r="361" spans="2:27" x14ac:dyDescent="0.25">
      <c r="B361" s="309" t="s">
        <v>105516</v>
      </c>
      <c r="C361" s="309" t="s">
        <v>106106</v>
      </c>
      <c r="D361" s="312" t="s">
        <v>105924</v>
      </c>
      <c r="E361" s="310" t="s">
        <v>105573</v>
      </c>
      <c r="F361" s="310" t="s">
        <v>105528</v>
      </c>
      <c r="G361" s="206"/>
      <c r="H361" s="206"/>
      <c r="I361" s="206"/>
      <c r="J361" s="206"/>
      <c r="K361" s="207"/>
      <c r="L361" s="207"/>
      <c r="M361" s="208" t="s">
        <v>112834</v>
      </c>
      <c r="N361" s="209" t="s">
        <v>112994</v>
      </c>
      <c r="O361" s="209" t="s">
        <v>113029</v>
      </c>
      <c r="P361" s="210"/>
      <c r="Q361" s="210"/>
      <c r="R361" s="216">
        <v>13000000</v>
      </c>
      <c r="S361" s="217"/>
      <c r="T361" s="212"/>
      <c r="U361" s="212"/>
      <c r="V361" s="327"/>
      <c r="W361" s="327"/>
      <c r="X361" s="352"/>
      <c r="Y361" s="368"/>
      <c r="Z361" s="212"/>
    </row>
    <row r="362" spans="2:27" x14ac:dyDescent="0.25">
      <c r="B362" s="220" t="s">
        <v>113140</v>
      </c>
      <c r="C362" s="220"/>
      <c r="D362" s="220"/>
      <c r="E362" s="220"/>
      <c r="F362" s="220"/>
      <c r="G362" s="220"/>
      <c r="H362" s="220"/>
      <c r="I362" s="220"/>
      <c r="J362" s="220"/>
      <c r="K362" s="221"/>
      <c r="L362" s="221"/>
      <c r="M362" s="222" t="s">
        <v>113141</v>
      </c>
      <c r="N362" s="223"/>
      <c r="O362" s="223" t="s">
        <v>112994</v>
      </c>
      <c r="P362" s="224"/>
      <c r="Q362" s="224"/>
      <c r="R362" s="225">
        <f>+R363</f>
        <v>38560000000</v>
      </c>
      <c r="S362" s="225"/>
      <c r="T362" s="225"/>
      <c r="U362" s="225"/>
      <c r="V362" s="403">
        <f t="shared" ref="V362:Z363" si="295">+V363</f>
        <v>38004670742.010002</v>
      </c>
      <c r="W362" s="225">
        <f t="shared" si="295"/>
        <v>10572421192.43</v>
      </c>
      <c r="X362" s="225"/>
      <c r="Y362" s="225">
        <f t="shared" si="295"/>
        <v>27394353046.580002</v>
      </c>
      <c r="Z362" s="225">
        <f t="shared" si="295"/>
        <v>-11165646953.42</v>
      </c>
    </row>
    <row r="363" spans="2:27" ht="29.25" customHeight="1" x14ac:dyDescent="0.25">
      <c r="B363" s="226" t="s">
        <v>113140</v>
      </c>
      <c r="C363" s="226">
        <v>1505</v>
      </c>
      <c r="D363" s="226"/>
      <c r="E363" s="226"/>
      <c r="F363" s="226"/>
      <c r="G363" s="226"/>
      <c r="H363" s="226"/>
      <c r="I363" s="226"/>
      <c r="J363" s="226"/>
      <c r="K363" s="227"/>
      <c r="L363" s="227"/>
      <c r="M363" s="228" t="s">
        <v>113142</v>
      </c>
      <c r="N363" s="229"/>
      <c r="O363" s="229" t="s">
        <v>112994</v>
      </c>
      <c r="P363" s="230"/>
      <c r="Q363" s="230"/>
      <c r="R363" s="231">
        <f>+R364</f>
        <v>38560000000</v>
      </c>
      <c r="S363" s="231"/>
      <c r="T363" s="231"/>
      <c r="U363" s="231"/>
      <c r="V363" s="404">
        <f t="shared" si="295"/>
        <v>38004670742.010002</v>
      </c>
      <c r="W363" s="231">
        <f t="shared" si="295"/>
        <v>10572421192.43</v>
      </c>
      <c r="X363" s="231"/>
      <c r="Y363" s="231">
        <f t="shared" si="295"/>
        <v>27394353046.580002</v>
      </c>
      <c r="Z363" s="231">
        <f t="shared" si="295"/>
        <v>-11165646953.42</v>
      </c>
    </row>
    <row r="364" spans="2:27" x14ac:dyDescent="0.25">
      <c r="B364" s="232" t="s">
        <v>113140</v>
      </c>
      <c r="C364" s="232">
        <v>1505</v>
      </c>
      <c r="D364" s="300" t="s">
        <v>113143</v>
      </c>
      <c r="E364" s="232"/>
      <c r="F364" s="232"/>
      <c r="G364" s="232"/>
      <c r="H364" s="232"/>
      <c r="I364" s="232"/>
      <c r="J364" s="232"/>
      <c r="K364" s="233"/>
      <c r="L364" s="233"/>
      <c r="M364" s="234" t="s">
        <v>113144</v>
      </c>
      <c r="N364" s="235"/>
      <c r="O364" s="235" t="s">
        <v>112994</v>
      </c>
      <c r="P364" s="236"/>
      <c r="Q364" s="236"/>
      <c r="R364" s="237">
        <f>R365+R395</f>
        <v>38560000000</v>
      </c>
      <c r="S364" s="237"/>
      <c r="T364" s="237"/>
      <c r="U364" s="237"/>
      <c r="V364" s="405">
        <f t="shared" ref="V364:Z364" si="296">V365+V395</f>
        <v>38004670742.010002</v>
      </c>
      <c r="W364" s="237">
        <f t="shared" si="296"/>
        <v>10572421192.43</v>
      </c>
      <c r="X364" s="237"/>
      <c r="Y364" s="237">
        <f t="shared" si="296"/>
        <v>27394353046.580002</v>
      </c>
      <c r="Z364" s="237">
        <f t="shared" si="296"/>
        <v>-11165646953.42</v>
      </c>
    </row>
    <row r="365" spans="2:27" ht="32.25" customHeight="1" x14ac:dyDescent="0.25">
      <c r="B365" s="213" t="s">
        <v>113140</v>
      </c>
      <c r="C365" s="213">
        <v>1505</v>
      </c>
      <c r="D365" s="213" t="s">
        <v>113143</v>
      </c>
      <c r="E365" s="303" t="s">
        <v>105675</v>
      </c>
      <c r="F365" s="213"/>
      <c r="G365" s="213"/>
      <c r="H365" s="213"/>
      <c r="I365" s="213"/>
      <c r="J365" s="213"/>
      <c r="K365" s="61"/>
      <c r="L365" s="61"/>
      <c r="M365" s="62" t="s">
        <v>113318</v>
      </c>
      <c r="N365" s="63"/>
      <c r="O365" s="63" t="s">
        <v>112994</v>
      </c>
      <c r="P365" s="64"/>
      <c r="Q365" s="64"/>
      <c r="R365" s="65">
        <f>R366</f>
        <v>20795000000</v>
      </c>
      <c r="S365" s="66"/>
      <c r="T365" s="67"/>
      <c r="U365" s="63" t="s">
        <v>112994</v>
      </c>
      <c r="V365" s="390">
        <f t="shared" ref="V365:W366" si="297">V366</f>
        <v>20486655521.010002</v>
      </c>
      <c r="W365" s="65">
        <f t="shared" si="297"/>
        <v>3920485468.0500002</v>
      </c>
      <c r="X365" s="337"/>
      <c r="Y365" s="65">
        <f t="shared" ref="Y365:Z366" si="298">Y366</f>
        <v>16566170052.960001</v>
      </c>
      <c r="Z365" s="65">
        <f t="shared" si="298"/>
        <v>-4228829947.0400004</v>
      </c>
    </row>
    <row r="366" spans="2:27" ht="41.25" customHeight="1" x14ac:dyDescent="0.25">
      <c r="B366" s="213" t="s">
        <v>113140</v>
      </c>
      <c r="C366" s="213">
        <v>1505</v>
      </c>
      <c r="D366" s="213" t="s">
        <v>113143</v>
      </c>
      <c r="E366" s="303" t="s">
        <v>105675</v>
      </c>
      <c r="F366" s="213" t="s">
        <v>113327</v>
      </c>
      <c r="G366" s="213"/>
      <c r="H366" s="213"/>
      <c r="I366" s="213"/>
      <c r="J366" s="213"/>
      <c r="K366" s="61"/>
      <c r="L366" s="61"/>
      <c r="M366" s="62" t="s">
        <v>113328</v>
      </c>
      <c r="N366" s="63"/>
      <c r="O366" s="63"/>
      <c r="P366" s="64"/>
      <c r="Q366" s="64"/>
      <c r="R366" s="65">
        <f>R367</f>
        <v>20795000000</v>
      </c>
      <c r="S366" s="66"/>
      <c r="T366" s="67"/>
      <c r="U366" s="63" t="s">
        <v>112994</v>
      </c>
      <c r="V366" s="390">
        <f t="shared" si="297"/>
        <v>20486655521.010002</v>
      </c>
      <c r="W366" s="65">
        <f t="shared" si="297"/>
        <v>3920485468.0500002</v>
      </c>
      <c r="X366" s="337"/>
      <c r="Y366" s="65">
        <f t="shared" si="298"/>
        <v>16566170052.960001</v>
      </c>
      <c r="Z366" s="65">
        <f t="shared" si="298"/>
        <v>-4228829947.0400004</v>
      </c>
    </row>
    <row r="367" spans="2:27" ht="63.75" customHeight="1" x14ac:dyDescent="0.25">
      <c r="B367" s="306" t="s">
        <v>113140</v>
      </c>
      <c r="C367" s="306">
        <v>1505</v>
      </c>
      <c r="D367" s="306" t="s">
        <v>113143</v>
      </c>
      <c r="E367" s="307" t="s">
        <v>105675</v>
      </c>
      <c r="F367" s="306" t="s">
        <v>113327</v>
      </c>
      <c r="G367" s="306">
        <v>1505006</v>
      </c>
      <c r="H367" s="240"/>
      <c r="I367" s="240"/>
      <c r="J367" s="240"/>
      <c r="K367" s="240"/>
      <c r="L367" s="240"/>
      <c r="M367" s="33" t="s">
        <v>113329</v>
      </c>
      <c r="N367" s="241"/>
      <c r="O367" s="241" t="s">
        <v>112994</v>
      </c>
      <c r="P367" s="242"/>
      <c r="Q367" s="242"/>
      <c r="R367" s="246">
        <f>R368</f>
        <v>20795000000</v>
      </c>
      <c r="S367" s="247"/>
      <c r="T367" s="248"/>
      <c r="U367" s="248"/>
      <c r="V367" s="406">
        <f t="shared" ref="V367:W367" si="299">V368</f>
        <v>20486655521.010002</v>
      </c>
      <c r="W367" s="246">
        <f t="shared" si="299"/>
        <v>3920485468.0500002</v>
      </c>
      <c r="X367" s="354"/>
      <c r="Y367" s="246">
        <f t="shared" ref="Y367:Z367" si="300">Y368</f>
        <v>16566170052.960001</v>
      </c>
      <c r="Z367" s="246">
        <f t="shared" si="300"/>
        <v>-4228829947.0400004</v>
      </c>
      <c r="AA367" s="298"/>
    </row>
    <row r="368" spans="2:27" ht="63.75" customHeight="1" x14ac:dyDescent="0.25">
      <c r="B368" s="314" t="s">
        <v>113140</v>
      </c>
      <c r="C368" s="314">
        <v>1505</v>
      </c>
      <c r="D368" s="314" t="s">
        <v>113143</v>
      </c>
      <c r="E368" s="315" t="s">
        <v>105675</v>
      </c>
      <c r="F368" s="314" t="s">
        <v>113327</v>
      </c>
      <c r="G368" s="314">
        <v>1505006</v>
      </c>
      <c r="H368" s="314" t="s">
        <v>105573</v>
      </c>
      <c r="I368" s="314"/>
      <c r="J368" s="314"/>
      <c r="K368" s="314"/>
      <c r="L368" s="314"/>
      <c r="M368" s="316" t="s">
        <v>113330</v>
      </c>
      <c r="N368" s="79"/>
      <c r="O368" s="79"/>
      <c r="P368" s="80"/>
      <c r="Q368" s="80"/>
      <c r="R368" s="81">
        <f>SUM(R369:R394)</f>
        <v>20795000000</v>
      </c>
      <c r="S368" s="82"/>
      <c r="T368" s="317"/>
      <c r="U368" s="373"/>
      <c r="V368" s="407">
        <f t="shared" ref="V368:W368" si="301">SUM(V369:V394)</f>
        <v>20486655521.010002</v>
      </c>
      <c r="W368" s="374">
        <f t="shared" si="301"/>
        <v>3920485468.0500002</v>
      </c>
      <c r="X368" s="375"/>
      <c r="Y368" s="374">
        <f t="shared" ref="Y368:Z368" si="302">SUM(Y369:Y394)</f>
        <v>16566170052.960001</v>
      </c>
      <c r="Z368" s="374">
        <f t="shared" si="302"/>
        <v>-4228829947.0400004</v>
      </c>
      <c r="AA368" s="298"/>
    </row>
    <row r="369" spans="2:26" ht="27" customHeight="1" x14ac:dyDescent="0.25">
      <c r="B369" s="84"/>
      <c r="C369" s="85"/>
      <c r="D369" s="85"/>
      <c r="E369" s="85"/>
      <c r="F369" s="85"/>
      <c r="G369" s="85"/>
      <c r="H369" s="85"/>
      <c r="I369" s="85"/>
      <c r="J369" s="86"/>
      <c r="K369" s="86" t="s">
        <v>113154</v>
      </c>
      <c r="L369" s="304" t="s">
        <v>113145</v>
      </c>
      <c r="M369" s="88" t="s">
        <v>113153</v>
      </c>
      <c r="N369" s="89">
        <v>45163</v>
      </c>
      <c r="O369" s="89" t="s">
        <v>113008</v>
      </c>
      <c r="P369" s="90" t="s">
        <v>113020</v>
      </c>
      <c r="Q369" s="90" t="s">
        <v>113275</v>
      </c>
      <c r="R369" s="111">
        <f>1160000000+364924765</f>
        <v>1524924765</v>
      </c>
      <c r="S369" s="127"/>
      <c r="T369" s="88" t="s">
        <v>113147</v>
      </c>
      <c r="U369" s="276">
        <v>1224</v>
      </c>
      <c r="V369" s="277">
        <v>1524924765</v>
      </c>
      <c r="W369" s="277">
        <f>V369-Y369</f>
        <v>0</v>
      </c>
      <c r="X369" s="344" t="s">
        <v>113434</v>
      </c>
      <c r="Y369" s="366">
        <v>1524924765</v>
      </c>
      <c r="Z369" s="278">
        <f t="shared" ref="Z369:Z394" si="303">Y369-R369</f>
        <v>0</v>
      </c>
    </row>
    <row r="370" spans="2:26"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113276</v>
      </c>
      <c r="R370" s="111">
        <f>177400000+39348068</f>
        <v>216748068</v>
      </c>
      <c r="S370" s="127"/>
      <c r="T370" s="88" t="s">
        <v>113147</v>
      </c>
      <c r="U370" s="276">
        <v>1324</v>
      </c>
      <c r="V370" s="277">
        <v>216748067.41999999</v>
      </c>
      <c r="W370" s="277">
        <f t="shared" ref="W370:W394" si="304">V370-Y370</f>
        <v>0</v>
      </c>
      <c r="X370" s="344" t="s">
        <v>113435</v>
      </c>
      <c r="Y370" s="366">
        <v>216748067.41999999</v>
      </c>
      <c r="Z370" s="278">
        <f t="shared" si="303"/>
        <v>-0.58000001311302185</v>
      </c>
    </row>
    <row r="371" spans="2:26"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113275</v>
      </c>
      <c r="R371" s="111">
        <f>1754000000-364924765-39348068-6166041</f>
        <v>1343561126</v>
      </c>
      <c r="S371" s="127"/>
      <c r="T371" s="88" t="s">
        <v>113147</v>
      </c>
      <c r="U371" s="276">
        <v>1224</v>
      </c>
      <c r="V371" s="277">
        <v>1343561126</v>
      </c>
      <c r="W371" s="277">
        <f t="shared" si="304"/>
        <v>0</v>
      </c>
      <c r="X371" s="344" t="s">
        <v>113434</v>
      </c>
      <c r="Y371" s="366">
        <v>1343561126</v>
      </c>
      <c r="Z371" s="278">
        <f t="shared" si="303"/>
        <v>0</v>
      </c>
    </row>
    <row r="372" spans="2:26"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113276</v>
      </c>
      <c r="R372" s="111">
        <f>178500000+6166041+21943297.82</f>
        <v>206609338.81999999</v>
      </c>
      <c r="S372" s="127"/>
      <c r="T372" s="88" t="s">
        <v>113147</v>
      </c>
      <c r="U372" s="276">
        <v>1324</v>
      </c>
      <c r="V372" s="277">
        <v>206609338.81999999</v>
      </c>
      <c r="W372" s="277">
        <f t="shared" si="304"/>
        <v>0</v>
      </c>
      <c r="X372" s="344" t="s">
        <v>113435</v>
      </c>
      <c r="Y372" s="366">
        <v>206609338.81999999</v>
      </c>
      <c r="Z372" s="278">
        <f t="shared" si="303"/>
        <v>0</v>
      </c>
    </row>
    <row r="373" spans="2:26"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113275</v>
      </c>
      <c r="R373" s="111">
        <f>1655616086.67-21943297.82-43835356.02</f>
        <v>1589837432.8300002</v>
      </c>
      <c r="S373" s="127"/>
      <c r="T373" s="88" t="s">
        <v>113147</v>
      </c>
      <c r="U373" s="276">
        <v>1224</v>
      </c>
      <c r="V373" s="277">
        <v>1394432587.52</v>
      </c>
      <c r="W373" s="277">
        <f t="shared" si="304"/>
        <v>0</v>
      </c>
      <c r="X373" s="344" t="s">
        <v>113434</v>
      </c>
      <c r="Y373" s="366">
        <v>1394432587.52</v>
      </c>
      <c r="Z373" s="278">
        <f t="shared" si="303"/>
        <v>-195404845.31000018</v>
      </c>
    </row>
    <row r="374" spans="2:26"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113276</v>
      </c>
      <c r="R374" s="111">
        <f>160005447.8+43835356.02-195000000-404845.31</f>
        <v>8435958.5100000221</v>
      </c>
      <c r="S374" s="127"/>
      <c r="T374" s="88" t="s">
        <v>113147</v>
      </c>
      <c r="U374" s="276">
        <v>1324</v>
      </c>
      <c r="V374" s="277">
        <v>203840803.81999999</v>
      </c>
      <c r="W374" s="277">
        <f t="shared" si="304"/>
        <v>0</v>
      </c>
      <c r="X374" s="344" t="s">
        <v>113435</v>
      </c>
      <c r="Y374" s="366">
        <v>203840803.81999999</v>
      </c>
      <c r="Z374" s="278">
        <f t="shared" si="303"/>
        <v>195404845.30999997</v>
      </c>
    </row>
    <row r="375" spans="2:26"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113275</v>
      </c>
      <c r="R375" s="111">
        <f>2900000000-7147237-29002880-16094179-270578490.23</f>
        <v>2577177213.77</v>
      </c>
      <c r="S375" s="127"/>
      <c r="T375" s="88" t="s">
        <v>113147</v>
      </c>
      <c r="U375" s="276">
        <v>10224</v>
      </c>
      <c r="V375" s="371">
        <v>2577177213.77</v>
      </c>
      <c r="W375" s="277">
        <f t="shared" si="304"/>
        <v>0</v>
      </c>
      <c r="X375" s="344" t="s">
        <v>113439</v>
      </c>
      <c r="Y375" s="366">
        <v>2577177213.77</v>
      </c>
      <c r="Z375" s="278">
        <f t="shared" si="303"/>
        <v>0</v>
      </c>
    </row>
    <row r="376" spans="2:26"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113276</v>
      </c>
      <c r="R376" s="111">
        <f>300000000+8833032+1166968-99010</f>
        <v>309900990</v>
      </c>
      <c r="S376" s="127"/>
      <c r="T376" s="88" t="s">
        <v>113147</v>
      </c>
      <c r="U376" s="276">
        <v>10624</v>
      </c>
      <c r="V376" s="371">
        <v>309900990</v>
      </c>
      <c r="W376" s="277">
        <f t="shared" si="304"/>
        <v>0</v>
      </c>
      <c r="X376" s="344" t="s">
        <v>113444</v>
      </c>
      <c r="Y376" s="366">
        <v>309900990</v>
      </c>
      <c r="Z376" s="278">
        <f t="shared" si="303"/>
        <v>0</v>
      </c>
    </row>
    <row r="377" spans="2:26"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113275</v>
      </c>
      <c r="R377" s="111">
        <f>2800000000+88483032-32946210.15-22400607.85</f>
        <v>2833136214</v>
      </c>
      <c r="S377" s="127"/>
      <c r="T377" s="88" t="s">
        <v>113147</v>
      </c>
      <c r="U377" s="276">
        <v>10024</v>
      </c>
      <c r="V377" s="371">
        <v>2833136214</v>
      </c>
      <c r="W377" s="277">
        <f t="shared" si="304"/>
        <v>0</v>
      </c>
      <c r="X377" s="344" t="s">
        <v>113442</v>
      </c>
      <c r="Y377" s="366">
        <v>2833136214</v>
      </c>
      <c r="Z377" s="278">
        <f t="shared" si="303"/>
        <v>0</v>
      </c>
    </row>
    <row r="378" spans="2:26"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113276</v>
      </c>
      <c r="R378" s="111">
        <f>290000000+7147237+22852763</f>
        <v>320000000</v>
      </c>
      <c r="S378" s="127"/>
      <c r="T378" s="88" t="s">
        <v>113147</v>
      </c>
      <c r="U378" s="276">
        <v>10424</v>
      </c>
      <c r="V378" s="277">
        <v>320000000</v>
      </c>
      <c r="W378" s="277">
        <f t="shared" si="304"/>
        <v>0</v>
      </c>
      <c r="X378" s="344" t="s">
        <v>113445</v>
      </c>
      <c r="Y378" s="366">
        <v>320000000</v>
      </c>
      <c r="Z378" s="278">
        <f t="shared" si="303"/>
        <v>0</v>
      </c>
    </row>
    <row r="379" spans="2:26"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113275</v>
      </c>
      <c r="R379" s="111">
        <f>2400000000-8833032-22852763-51203229.67</f>
        <v>2317110975.3299999</v>
      </c>
      <c r="S379" s="127"/>
      <c r="T379" s="88" t="s">
        <v>113147</v>
      </c>
      <c r="U379" s="276">
        <v>9924</v>
      </c>
      <c r="V379" s="371">
        <v>2317110975.3299999</v>
      </c>
      <c r="W379" s="277">
        <f t="shared" si="304"/>
        <v>0</v>
      </c>
      <c r="X379" s="344" t="s">
        <v>113438</v>
      </c>
      <c r="Y379" s="366">
        <v>2317110975.3299999</v>
      </c>
      <c r="Z379" s="278">
        <f t="shared" si="303"/>
        <v>0</v>
      </c>
    </row>
    <row r="380" spans="2:26"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113276</v>
      </c>
      <c r="R380" s="111">
        <f>270000000+29002880-4297000</f>
        <v>294705880</v>
      </c>
      <c r="S380" s="127"/>
      <c r="T380" s="88" t="s">
        <v>113147</v>
      </c>
      <c r="U380" s="276">
        <v>10324</v>
      </c>
      <c r="V380" s="371">
        <v>294705880</v>
      </c>
      <c r="W380" s="277">
        <f t="shared" si="304"/>
        <v>0</v>
      </c>
      <c r="X380" s="344" t="s">
        <v>113441</v>
      </c>
      <c r="Y380" s="366">
        <v>294705880</v>
      </c>
      <c r="Z380" s="278">
        <f t="shared" si="303"/>
        <v>0</v>
      </c>
    </row>
    <row r="381" spans="2:26"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113275</v>
      </c>
      <c r="R381" s="111">
        <f>2900000000-1166968-88483032-266883700.62</f>
        <v>2543466299.3800001</v>
      </c>
      <c r="S381" s="127"/>
      <c r="T381" s="88" t="s">
        <v>113147</v>
      </c>
      <c r="U381" s="276">
        <v>10124</v>
      </c>
      <c r="V381" s="371">
        <v>2543466299.3800001</v>
      </c>
      <c r="W381" s="277">
        <f t="shared" si="304"/>
        <v>0</v>
      </c>
      <c r="X381" s="344" t="s">
        <v>113440</v>
      </c>
      <c r="Y381" s="366">
        <v>2543466299.3800001</v>
      </c>
      <c r="Z381" s="278">
        <f t="shared" si="303"/>
        <v>0</v>
      </c>
    </row>
    <row r="382" spans="2:26"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113276</v>
      </c>
      <c r="R382" s="111">
        <f>300000000+16094179-195589</f>
        <v>315898590</v>
      </c>
      <c r="S382" s="127"/>
      <c r="T382" s="88" t="s">
        <v>113147</v>
      </c>
      <c r="U382" s="276">
        <v>10524</v>
      </c>
      <c r="V382" s="371">
        <v>315898590</v>
      </c>
      <c r="W382" s="277">
        <f t="shared" si="304"/>
        <v>0</v>
      </c>
      <c r="X382" s="344" t="s">
        <v>113443</v>
      </c>
      <c r="Y382" s="366">
        <v>315898590</v>
      </c>
      <c r="Z382" s="278">
        <f t="shared" si="303"/>
        <v>0</v>
      </c>
    </row>
    <row r="383" spans="2:26" ht="45" x14ac:dyDescent="0.25">
      <c r="B383" s="84"/>
      <c r="C383" s="85"/>
      <c r="D383" s="85"/>
      <c r="E383" s="85"/>
      <c r="F383" s="85"/>
      <c r="G383" s="85"/>
      <c r="H383" s="85"/>
      <c r="I383" s="85"/>
      <c r="J383" s="86"/>
      <c r="K383" s="86"/>
      <c r="L383" s="87" t="s">
        <v>113145</v>
      </c>
      <c r="M383" s="88" t="s">
        <v>113498</v>
      </c>
      <c r="N383" s="89">
        <v>45555</v>
      </c>
      <c r="O383" s="89" t="s">
        <v>113074</v>
      </c>
      <c r="P383" s="90" t="s">
        <v>113043</v>
      </c>
      <c r="Q383" s="90" t="s">
        <v>113275</v>
      </c>
      <c r="R383" s="111">
        <f>270578490.23+99010+32946210.15+4297000+266883700.62+195589</f>
        <v>575000000</v>
      </c>
      <c r="S383" s="127"/>
      <c r="T383" s="88" t="s">
        <v>113147</v>
      </c>
      <c r="U383" s="276">
        <v>87524</v>
      </c>
      <c r="V383" s="277">
        <v>575000000</v>
      </c>
      <c r="W383" s="277">
        <f t="shared" si="304"/>
        <v>575000000</v>
      </c>
      <c r="X383" s="344"/>
      <c r="Y383" s="366"/>
      <c r="Z383" s="278">
        <f t="shared" si="303"/>
        <v>-575000000</v>
      </c>
    </row>
    <row r="384" spans="2:26" ht="45" customHeight="1" x14ac:dyDescent="0.25">
      <c r="B384" s="84"/>
      <c r="C384" s="85"/>
      <c r="D384" s="85"/>
      <c r="E384" s="85"/>
      <c r="F384" s="85"/>
      <c r="G384" s="85"/>
      <c r="H384" s="85"/>
      <c r="I384" s="85"/>
      <c r="J384" s="86"/>
      <c r="K384" s="86"/>
      <c r="L384" s="87">
        <v>81101500</v>
      </c>
      <c r="M384" s="88" t="s">
        <v>113499</v>
      </c>
      <c r="N384" s="89">
        <v>45555</v>
      </c>
      <c r="O384" s="89" t="s">
        <v>113074</v>
      </c>
      <c r="P384" s="90" t="s">
        <v>113043</v>
      </c>
      <c r="Q384" s="90" t="s">
        <v>113276</v>
      </c>
      <c r="R384" s="111">
        <f>22400607.85+51203229.67</f>
        <v>73603837.520000011</v>
      </c>
      <c r="S384" s="127"/>
      <c r="T384" s="88" t="s">
        <v>113147</v>
      </c>
      <c r="U384" s="276">
        <v>87624</v>
      </c>
      <c r="V384" s="277">
        <v>73603837.520000011</v>
      </c>
      <c r="W384" s="277">
        <f t="shared" si="304"/>
        <v>73603837.520000011</v>
      </c>
      <c r="X384" s="344"/>
      <c r="Y384" s="366"/>
      <c r="Z384" s="278">
        <f t="shared" si="303"/>
        <v>-73603837.520000011</v>
      </c>
    </row>
    <row r="385" spans="2:27"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113275</v>
      </c>
      <c r="R385" s="111">
        <f>1100000000-200000000+195000000</f>
        <v>1095000000</v>
      </c>
      <c r="S385" s="267">
        <v>3191426295.0047998</v>
      </c>
      <c r="T385" s="88" t="s">
        <v>113147</v>
      </c>
      <c r="U385" s="276">
        <v>25624</v>
      </c>
      <c r="V385" s="328">
        <f>1100000000-200000000+195000000</f>
        <v>1095000000</v>
      </c>
      <c r="W385" s="277">
        <f t="shared" si="304"/>
        <v>1095000000</v>
      </c>
      <c r="X385" s="355"/>
      <c r="Y385" s="366"/>
      <c r="Z385" s="278">
        <f t="shared" si="303"/>
        <v>-1095000000</v>
      </c>
    </row>
    <row r="386" spans="2:27"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113276</v>
      </c>
      <c r="R386" s="111">
        <v>160000000</v>
      </c>
      <c r="S386" s="267">
        <v>285450049</v>
      </c>
      <c r="T386" s="88" t="s">
        <v>113147</v>
      </c>
      <c r="U386" s="276">
        <v>25624</v>
      </c>
      <c r="V386" s="328">
        <v>160000000</v>
      </c>
      <c r="W386" s="277">
        <f t="shared" si="304"/>
        <v>160000000</v>
      </c>
      <c r="X386" s="355"/>
      <c r="Y386" s="366"/>
      <c r="Z386" s="278">
        <f t="shared" si="303"/>
        <v>-160000000</v>
      </c>
    </row>
    <row r="387" spans="2:27"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113275</v>
      </c>
      <c r="R387" s="111">
        <f>1000000000-100000000</f>
        <v>900000000</v>
      </c>
      <c r="S387" s="267">
        <v>873272719.76999998</v>
      </c>
      <c r="T387" s="88" t="s">
        <v>113147</v>
      </c>
      <c r="U387" s="276">
        <v>25624</v>
      </c>
      <c r="V387" s="328">
        <f>1000000000-100000000</f>
        <v>900000000</v>
      </c>
      <c r="W387" s="277">
        <f t="shared" si="304"/>
        <v>900000000</v>
      </c>
      <c r="X387" s="355"/>
      <c r="Y387" s="366"/>
      <c r="Z387" s="278">
        <f t="shared" si="303"/>
        <v>-900000000</v>
      </c>
    </row>
    <row r="388" spans="2:27"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113276</v>
      </c>
      <c r="R388" s="111">
        <v>80000000</v>
      </c>
      <c r="S388" s="267">
        <v>104065708</v>
      </c>
      <c r="T388" s="88" t="s">
        <v>113147</v>
      </c>
      <c r="U388" s="276">
        <v>25624</v>
      </c>
      <c r="V388" s="328">
        <v>80000000</v>
      </c>
      <c r="W388" s="277">
        <f t="shared" si="304"/>
        <v>80000000</v>
      </c>
      <c r="X388" s="355"/>
      <c r="Y388" s="366"/>
      <c r="Z388" s="278">
        <f t="shared" si="303"/>
        <v>-80000000</v>
      </c>
    </row>
    <row r="389" spans="2:27"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113275</v>
      </c>
      <c r="R389" s="111">
        <f>1000000000-100000000</f>
        <v>900000000</v>
      </c>
      <c r="S389" s="267">
        <v>610274233.07000005</v>
      </c>
      <c r="T389" s="88" t="s">
        <v>113147</v>
      </c>
      <c r="U389" s="276">
        <v>25624</v>
      </c>
      <c r="V389" s="328">
        <f>1000000000-100000000</f>
        <v>900000000</v>
      </c>
      <c r="W389" s="277">
        <f t="shared" si="304"/>
        <v>900000000</v>
      </c>
      <c r="X389" s="355"/>
      <c r="Y389" s="366"/>
      <c r="Z389" s="278">
        <f t="shared" si="303"/>
        <v>-900000000</v>
      </c>
    </row>
    <row r="390" spans="2:27"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113276</v>
      </c>
      <c r="R390" s="111">
        <v>120000000</v>
      </c>
      <c r="S390" s="267">
        <v>50000000</v>
      </c>
      <c r="T390" s="88" t="s">
        <v>113147</v>
      </c>
      <c r="U390" s="276">
        <v>25624</v>
      </c>
      <c r="V390" s="328">
        <v>120000000</v>
      </c>
      <c r="W390" s="277">
        <f t="shared" si="304"/>
        <v>120000000</v>
      </c>
      <c r="X390" s="355"/>
      <c r="Y390" s="366"/>
      <c r="Z390" s="278">
        <f t="shared" si="303"/>
        <v>-120000000</v>
      </c>
    </row>
    <row r="391" spans="2:27"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113266</v>
      </c>
      <c r="R391" s="111">
        <v>40000000</v>
      </c>
      <c r="S391" s="127"/>
      <c r="T391" s="88" t="s">
        <v>113147</v>
      </c>
      <c r="U391" s="276">
        <v>12324</v>
      </c>
      <c r="V391" s="277">
        <v>40000000</v>
      </c>
      <c r="W391" s="277">
        <f t="shared" si="304"/>
        <v>0</v>
      </c>
      <c r="X391" s="344" t="s">
        <v>113437</v>
      </c>
      <c r="Y391" s="366">
        <v>40000000</v>
      </c>
      <c r="Z391" s="278">
        <f t="shared" si="303"/>
        <v>0</v>
      </c>
    </row>
    <row r="392" spans="2:27" ht="27" customHeight="1" x14ac:dyDescent="0.25">
      <c r="B392" s="84"/>
      <c r="C392" s="85"/>
      <c r="D392" s="85"/>
      <c r="E392" s="85"/>
      <c r="F392" s="85"/>
      <c r="G392" s="85"/>
      <c r="H392" s="85"/>
      <c r="I392" s="85"/>
      <c r="J392" s="86"/>
      <c r="K392" s="86"/>
      <c r="L392" s="87"/>
      <c r="M392" s="88" t="s">
        <v>113278</v>
      </c>
      <c r="N392" s="89" t="s">
        <v>113029</v>
      </c>
      <c r="O392" s="89" t="s">
        <v>113029</v>
      </c>
      <c r="P392" s="89" t="s">
        <v>113029</v>
      </c>
      <c r="Q392" s="89" t="s">
        <v>113029</v>
      </c>
      <c r="R392" s="111">
        <f>200000000+100000000+60000000</f>
        <v>360000000</v>
      </c>
      <c r="S392" s="127"/>
      <c r="T392" s="88"/>
      <c r="U392" s="276">
        <v>86724</v>
      </c>
      <c r="V392" s="277">
        <v>70106568</v>
      </c>
      <c r="W392" s="277">
        <f t="shared" si="304"/>
        <v>0</v>
      </c>
      <c r="X392" s="344" t="s">
        <v>113501</v>
      </c>
      <c r="Y392" s="366">
        <v>70106568</v>
      </c>
      <c r="Z392" s="278">
        <f t="shared" si="303"/>
        <v>-289893432</v>
      </c>
    </row>
    <row r="393" spans="2:27" ht="34.5" customHeight="1" x14ac:dyDescent="0.25">
      <c r="B393" s="84"/>
      <c r="C393" s="85"/>
      <c r="D393" s="85"/>
      <c r="E393" s="85"/>
      <c r="F393" s="85"/>
      <c r="G393" s="85"/>
      <c r="H393" s="85"/>
      <c r="I393" s="85"/>
      <c r="J393" s="86"/>
      <c r="K393" s="86"/>
      <c r="L393" s="87"/>
      <c r="M393" s="88" t="s">
        <v>113277</v>
      </c>
      <c r="N393" s="89" t="s">
        <v>113029</v>
      </c>
      <c r="O393" s="89" t="s">
        <v>113029</v>
      </c>
      <c r="P393" s="89" t="s">
        <v>113029</v>
      </c>
      <c r="Q393" s="89" t="s">
        <v>113029</v>
      </c>
      <c r="R393" s="111">
        <f>100000000-60000000</f>
        <v>40000000</v>
      </c>
      <c r="S393" s="127"/>
      <c r="T393" s="88"/>
      <c r="U393" s="280" t="s">
        <v>113339</v>
      </c>
      <c r="V393" s="277">
        <v>21953798.899999999</v>
      </c>
      <c r="W393" s="277">
        <f t="shared" si="304"/>
        <v>0</v>
      </c>
      <c r="X393" s="344" t="s">
        <v>113364</v>
      </c>
      <c r="Y393" s="277">
        <v>21953798.899999999</v>
      </c>
      <c r="Z393" s="278">
        <f t="shared" si="303"/>
        <v>-18046201.100000001</v>
      </c>
    </row>
    <row r="394" spans="2:27" ht="30" x14ac:dyDescent="0.25">
      <c r="B394" s="269"/>
      <c r="C394" s="270"/>
      <c r="D394" s="270"/>
      <c r="E394" s="270"/>
      <c r="F394" s="270"/>
      <c r="G394" s="270"/>
      <c r="H394" s="270"/>
      <c r="I394" s="270"/>
      <c r="J394" s="271"/>
      <c r="K394" s="271" t="s">
        <v>113154</v>
      </c>
      <c r="L394" s="87">
        <v>90111500</v>
      </c>
      <c r="M394" s="88" t="s">
        <v>113195</v>
      </c>
      <c r="N394" s="89">
        <v>45311</v>
      </c>
      <c r="O394" s="89" t="s">
        <v>113163</v>
      </c>
      <c r="P394" s="90" t="s">
        <v>113161</v>
      </c>
      <c r="Q394" s="90" t="s">
        <v>113029</v>
      </c>
      <c r="R394" s="111">
        <f>49478465.53+404845.31</f>
        <v>49883310.840000004</v>
      </c>
      <c r="S394" s="127"/>
      <c r="T394" s="88" t="s">
        <v>113147</v>
      </c>
      <c r="U394" s="276">
        <v>6724</v>
      </c>
      <c r="V394" s="277">
        <v>49478465.530000001</v>
      </c>
      <c r="W394" s="277">
        <f t="shared" si="304"/>
        <v>16881630.530000001</v>
      </c>
      <c r="X394" s="344" t="s">
        <v>113436</v>
      </c>
      <c r="Y394" s="366">
        <v>32596835</v>
      </c>
      <c r="Z394" s="278">
        <f t="shared" si="303"/>
        <v>-17286475.840000004</v>
      </c>
    </row>
    <row r="395" spans="2:27" ht="42.75" customHeight="1" x14ac:dyDescent="0.25">
      <c r="B395" s="213" t="s">
        <v>113140</v>
      </c>
      <c r="C395" s="213">
        <v>1505</v>
      </c>
      <c r="D395" s="303" t="s">
        <v>113143</v>
      </c>
      <c r="E395" s="303" t="s">
        <v>105917</v>
      </c>
      <c r="F395" s="213"/>
      <c r="G395" s="213"/>
      <c r="H395" s="213"/>
      <c r="I395" s="213"/>
      <c r="J395" s="213"/>
      <c r="K395" s="61"/>
      <c r="L395" s="61"/>
      <c r="M395" s="62" t="s">
        <v>113319</v>
      </c>
      <c r="N395" s="63"/>
      <c r="O395" s="63" t="s">
        <v>112994</v>
      </c>
      <c r="P395" s="64"/>
      <c r="Q395" s="64"/>
      <c r="R395" s="65">
        <f>R396</f>
        <v>17765000000</v>
      </c>
      <c r="S395" s="238"/>
      <c r="T395" s="239"/>
      <c r="U395" s="63" t="s">
        <v>112994</v>
      </c>
      <c r="V395" s="390">
        <f t="shared" ref="V395:W396" si="305">V396</f>
        <v>17518015221</v>
      </c>
      <c r="W395" s="65">
        <f t="shared" si="305"/>
        <v>6651935724.3800001</v>
      </c>
      <c r="X395" s="337"/>
      <c r="Y395" s="65">
        <f t="shared" ref="Y395:Z396" si="306">Y396</f>
        <v>10828182993.619999</v>
      </c>
      <c r="Z395" s="65">
        <f t="shared" si="306"/>
        <v>-6936817006.3800001</v>
      </c>
    </row>
    <row r="396" spans="2:27" ht="42.75" customHeight="1" x14ac:dyDescent="0.25">
      <c r="B396" s="213" t="s">
        <v>113140</v>
      </c>
      <c r="C396" s="213">
        <v>1505</v>
      </c>
      <c r="D396" s="303" t="s">
        <v>113143</v>
      </c>
      <c r="E396" s="303" t="s">
        <v>105917</v>
      </c>
      <c r="F396" s="213" t="s">
        <v>113327</v>
      </c>
      <c r="G396" s="213"/>
      <c r="H396" s="213"/>
      <c r="I396" s="213"/>
      <c r="J396" s="213"/>
      <c r="K396" s="61"/>
      <c r="L396" s="61"/>
      <c r="M396" s="62" t="s">
        <v>113328</v>
      </c>
      <c r="N396" s="63"/>
      <c r="O396" s="63"/>
      <c r="P396" s="64"/>
      <c r="Q396" s="64"/>
      <c r="R396" s="65">
        <f>R397</f>
        <v>17765000000</v>
      </c>
      <c r="S396" s="238"/>
      <c r="T396" s="239"/>
      <c r="U396" s="63" t="s">
        <v>112994</v>
      </c>
      <c r="V396" s="390">
        <f t="shared" si="305"/>
        <v>17518015221</v>
      </c>
      <c r="W396" s="65">
        <f t="shared" si="305"/>
        <v>6651935724.3800001</v>
      </c>
      <c r="X396" s="337"/>
      <c r="Y396" s="65">
        <f t="shared" si="306"/>
        <v>10828182993.619999</v>
      </c>
      <c r="Z396" s="65">
        <f t="shared" si="306"/>
        <v>-6936817006.3800001</v>
      </c>
    </row>
    <row r="397" spans="2:27" ht="51.75" customHeight="1" x14ac:dyDescent="0.25">
      <c r="B397" s="306" t="s">
        <v>113140</v>
      </c>
      <c r="C397" s="306">
        <v>1505</v>
      </c>
      <c r="D397" s="306" t="s">
        <v>113143</v>
      </c>
      <c r="E397" s="307" t="s">
        <v>105917</v>
      </c>
      <c r="F397" s="306" t="s">
        <v>113327</v>
      </c>
      <c r="G397" s="306">
        <v>1505006</v>
      </c>
      <c r="H397" s="305"/>
      <c r="I397" s="240"/>
      <c r="J397" s="240"/>
      <c r="K397" s="32"/>
      <c r="L397" s="32"/>
      <c r="M397" s="33" t="s">
        <v>113329</v>
      </c>
      <c r="N397" s="241"/>
      <c r="O397" s="241" t="s">
        <v>112994</v>
      </c>
      <c r="P397" s="242"/>
      <c r="Q397" s="242"/>
      <c r="R397" s="36">
        <f>R398</f>
        <v>17765000000</v>
      </c>
      <c r="S397" s="37"/>
      <c r="T397" s="243"/>
      <c r="U397" s="243"/>
      <c r="V397" s="387">
        <f t="shared" ref="V397:W397" si="307">V398</f>
        <v>17518015221</v>
      </c>
      <c r="W397" s="36">
        <f t="shared" si="307"/>
        <v>6651935724.3800001</v>
      </c>
      <c r="X397" s="356"/>
      <c r="Y397" s="36">
        <f t="shared" ref="Y397:Z397" si="308">Y398</f>
        <v>10828182993.619999</v>
      </c>
      <c r="Z397" s="36">
        <f t="shared" si="308"/>
        <v>-6936817006.3800001</v>
      </c>
      <c r="AA397" s="298"/>
    </row>
    <row r="398" spans="2:27" ht="51.75" customHeight="1" x14ac:dyDescent="0.25">
      <c r="B398" s="240" t="s">
        <v>113140</v>
      </c>
      <c r="C398" s="240">
        <v>1505</v>
      </c>
      <c r="D398" s="240" t="s">
        <v>113143</v>
      </c>
      <c r="E398" s="315" t="s">
        <v>105917</v>
      </c>
      <c r="F398" s="314" t="s">
        <v>113327</v>
      </c>
      <c r="G398" s="314">
        <v>1505006</v>
      </c>
      <c r="H398" s="315" t="s">
        <v>105573</v>
      </c>
      <c r="I398" s="314"/>
      <c r="J398" s="314"/>
      <c r="K398" s="318"/>
      <c r="L398" s="318"/>
      <c r="M398" s="316" t="s">
        <v>113320</v>
      </c>
      <c r="N398" s="79"/>
      <c r="O398" s="79"/>
      <c r="P398" s="80"/>
      <c r="Q398" s="80"/>
      <c r="R398" s="319">
        <f>SUM(R399:R413)</f>
        <v>17765000000</v>
      </c>
      <c r="S398" s="320"/>
      <c r="T398" s="376"/>
      <c r="U398" s="377"/>
      <c r="V398" s="408">
        <f t="shared" ref="V398:W398" si="309">SUM(V399:V413)</f>
        <v>17518015221</v>
      </c>
      <c r="W398" s="378">
        <f t="shared" si="309"/>
        <v>6651935724.3800001</v>
      </c>
      <c r="X398" s="379"/>
      <c r="Y398" s="378">
        <f t="shared" ref="Y398:Z398" si="310">SUM(Y399:Y413)</f>
        <v>10828182993.619999</v>
      </c>
      <c r="Z398" s="378">
        <f t="shared" si="310"/>
        <v>-6936817006.3800001</v>
      </c>
      <c r="AA398" s="298"/>
    </row>
    <row r="399" spans="2:27"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113275</v>
      </c>
      <c r="R399" s="111">
        <f>4138111605+1854760690+276453645.92</f>
        <v>6269325940.9200001</v>
      </c>
      <c r="S399" s="244"/>
      <c r="T399" s="245" t="s">
        <v>113147</v>
      </c>
      <c r="U399" s="280" t="s">
        <v>113295</v>
      </c>
      <c r="V399" s="287">
        <f>5173481333+819390962+276453645.92</f>
        <v>6269325940.9200001</v>
      </c>
      <c r="W399" s="277">
        <f t="shared" ref="W399:W412" si="311">V399-Y399</f>
        <v>0</v>
      </c>
      <c r="X399" s="357" t="s">
        <v>113447</v>
      </c>
      <c r="Y399" s="369">
        <f>5173481333+819390962+276453645.92</f>
        <v>6269325940.9200001</v>
      </c>
      <c r="Z399" s="278">
        <f t="shared" ref="Z399:Z413" si="312">Y399-R399</f>
        <v>0</v>
      </c>
    </row>
    <row r="400" spans="2:27"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113276</v>
      </c>
      <c r="R400" s="111">
        <f>550573393+208535397</f>
        <v>759108790</v>
      </c>
      <c r="S400" s="244"/>
      <c r="T400" s="245" t="s">
        <v>113147</v>
      </c>
      <c r="U400" s="276">
        <v>1124</v>
      </c>
      <c r="V400" s="287">
        <v>759108790</v>
      </c>
      <c r="W400" s="277">
        <f t="shared" si="311"/>
        <v>0</v>
      </c>
      <c r="X400" s="357" t="s">
        <v>113446</v>
      </c>
      <c r="Y400" s="369">
        <v>759108790</v>
      </c>
      <c r="Z400" s="278">
        <f t="shared" si="312"/>
        <v>0</v>
      </c>
    </row>
    <row r="401" spans="2:26"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113275</v>
      </c>
      <c r="R401" s="111">
        <f>4564220183-1854760690-208535397-2481348913-19575183</f>
        <v>0</v>
      </c>
      <c r="S401" s="244"/>
      <c r="T401" s="245" t="s">
        <v>113147</v>
      </c>
      <c r="U401" s="279"/>
      <c r="V401" s="277"/>
      <c r="W401" s="277">
        <f t="shared" si="311"/>
        <v>0</v>
      </c>
      <c r="X401" s="344"/>
      <c r="Y401" s="366"/>
      <c r="Z401" s="278">
        <f t="shared" si="312"/>
        <v>0</v>
      </c>
    </row>
    <row r="402" spans="2:26"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113276</v>
      </c>
      <c r="R402" s="111">
        <f>410779817-410779817</f>
        <v>0</v>
      </c>
      <c r="S402" s="244"/>
      <c r="T402" s="245" t="s">
        <v>113147</v>
      </c>
      <c r="U402" s="279"/>
      <c r="V402" s="277"/>
      <c r="W402" s="277">
        <f t="shared" si="311"/>
        <v>0</v>
      </c>
      <c r="X402" s="344"/>
      <c r="Y402" s="366"/>
      <c r="Z402" s="278">
        <f t="shared" si="312"/>
        <v>0</v>
      </c>
    </row>
    <row r="403" spans="2:26"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113266</v>
      </c>
      <c r="R403" s="111">
        <v>50000000</v>
      </c>
      <c r="S403" s="128"/>
      <c r="T403" s="245" t="s">
        <v>113147</v>
      </c>
      <c r="U403" s="276">
        <v>12324</v>
      </c>
      <c r="V403" s="277">
        <v>50000000</v>
      </c>
      <c r="W403" s="277">
        <f t="shared" si="311"/>
        <v>0</v>
      </c>
      <c r="X403" s="344" t="s">
        <v>113437</v>
      </c>
      <c r="Y403" s="366">
        <v>50000000</v>
      </c>
      <c r="Z403" s="278">
        <f t="shared" si="312"/>
        <v>0</v>
      </c>
    </row>
    <row r="404" spans="2:26"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5" t="s">
        <v>113147</v>
      </c>
      <c r="U404" s="276">
        <v>6724</v>
      </c>
      <c r="V404" s="277">
        <v>70000000</v>
      </c>
      <c r="W404" s="277">
        <f t="shared" si="311"/>
        <v>37091635</v>
      </c>
      <c r="X404" s="344" t="s">
        <v>113449</v>
      </c>
      <c r="Y404" s="366">
        <f>29355767+3552598</f>
        <v>32908365</v>
      </c>
      <c r="Z404" s="278">
        <f t="shared" si="312"/>
        <v>-37091635</v>
      </c>
    </row>
    <row r="405" spans="2:26"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5" t="s">
        <v>113147</v>
      </c>
      <c r="U405" s="280" t="s">
        <v>113344</v>
      </c>
      <c r="V405" s="283">
        <v>683600000</v>
      </c>
      <c r="W405" s="277">
        <f t="shared" si="311"/>
        <v>49350000</v>
      </c>
      <c r="X405" s="351" t="s">
        <v>113448</v>
      </c>
      <c r="Y405" s="366">
        <f>582300000+17100000+12300000+12300000+10250000</f>
        <v>634250000</v>
      </c>
      <c r="Z405" s="278">
        <f t="shared" si="312"/>
        <v>-49350000</v>
      </c>
    </row>
    <row r="406" spans="2:26"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113276</v>
      </c>
      <c r="R406" s="111">
        <f>481315002-183600000</f>
        <v>297715002</v>
      </c>
      <c r="S406" s="128"/>
      <c r="T406" s="245" t="s">
        <v>113147</v>
      </c>
      <c r="U406" s="280" t="s">
        <v>113495</v>
      </c>
      <c r="V406" s="283">
        <f>97378982+3200000</f>
        <v>100578982</v>
      </c>
      <c r="W406" s="277">
        <f t="shared" si="311"/>
        <v>3200000</v>
      </c>
      <c r="X406" s="351" t="s">
        <v>113450</v>
      </c>
      <c r="Y406" s="366">
        <v>97378982</v>
      </c>
      <c r="Z406" s="278">
        <f t="shared" si="312"/>
        <v>-200336020</v>
      </c>
    </row>
    <row r="407" spans="2:26" ht="44.25" customHeight="1" x14ac:dyDescent="0.25">
      <c r="B407" s="84"/>
      <c r="C407" s="85"/>
      <c r="D407" s="85"/>
      <c r="E407" s="85"/>
      <c r="F407" s="85"/>
      <c r="G407" s="85"/>
      <c r="H407" s="85"/>
      <c r="I407" s="85"/>
      <c r="J407" s="86"/>
      <c r="K407" s="86"/>
      <c r="L407" s="87" t="s">
        <v>113145</v>
      </c>
      <c r="M407" s="88" t="s">
        <v>113279</v>
      </c>
      <c r="N407" s="89">
        <v>45455</v>
      </c>
      <c r="O407" s="89" t="s">
        <v>113167</v>
      </c>
      <c r="P407" s="90" t="s">
        <v>113281</v>
      </c>
      <c r="Q407" s="90" t="s">
        <v>113275</v>
      </c>
      <c r="R407" s="111">
        <v>2481348913</v>
      </c>
      <c r="S407" s="267">
        <v>8000000000</v>
      </c>
      <c r="T407" s="245" t="s">
        <v>113147</v>
      </c>
      <c r="U407" s="276">
        <v>25624</v>
      </c>
      <c r="V407" s="328">
        <v>2481348913</v>
      </c>
      <c r="W407" s="277">
        <f t="shared" si="311"/>
        <v>2481348913</v>
      </c>
      <c r="X407" s="355"/>
      <c r="Y407" s="366"/>
      <c r="Z407" s="278">
        <f t="shared" si="312"/>
        <v>-2481348913</v>
      </c>
    </row>
    <row r="408" spans="2:26" ht="44.25" customHeight="1" x14ac:dyDescent="0.25">
      <c r="B408" s="84"/>
      <c r="C408" s="85"/>
      <c r="D408" s="85"/>
      <c r="E408" s="85"/>
      <c r="F408" s="85"/>
      <c r="G408" s="85"/>
      <c r="H408" s="85"/>
      <c r="I408" s="85"/>
      <c r="J408" s="86"/>
      <c r="K408" s="86"/>
      <c r="L408" s="87">
        <v>81101500</v>
      </c>
      <c r="M408" s="88" t="s">
        <v>113280</v>
      </c>
      <c r="N408" s="89">
        <v>45455</v>
      </c>
      <c r="O408" s="89" t="s">
        <v>113167</v>
      </c>
      <c r="P408" s="90" t="s">
        <v>113065</v>
      </c>
      <c r="Q408" s="90" t="s">
        <v>113275</v>
      </c>
      <c r="R408" s="111">
        <f>19575183+410779817</f>
        <v>430355000</v>
      </c>
      <c r="S408" s="267">
        <v>1300000000</v>
      </c>
      <c r="T408" s="245" t="s">
        <v>113147</v>
      </c>
      <c r="U408" s="276">
        <v>25624</v>
      </c>
      <c r="V408" s="328">
        <f>19575183+410779817</f>
        <v>430355000</v>
      </c>
      <c r="W408" s="277">
        <f t="shared" si="311"/>
        <v>430355000</v>
      </c>
      <c r="X408" s="355"/>
      <c r="Y408" s="366"/>
      <c r="Z408" s="278">
        <f t="shared" si="312"/>
        <v>-430355000</v>
      </c>
    </row>
    <row r="409" spans="2:26" ht="39"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113275</v>
      </c>
      <c r="R409" s="111">
        <f>4133000000-712261158-276453645.92</f>
        <v>3144285196.0799999</v>
      </c>
      <c r="S409" s="128"/>
      <c r="T409" s="245" t="s">
        <v>113147</v>
      </c>
      <c r="U409" s="276">
        <v>55324</v>
      </c>
      <c r="V409" s="277">
        <v>3144285196.0799999</v>
      </c>
      <c r="W409" s="277">
        <f t="shared" si="311"/>
        <v>3144285196.0799999</v>
      </c>
      <c r="X409" s="344"/>
      <c r="Y409" s="366"/>
      <c r="Z409" s="278">
        <f t="shared" si="312"/>
        <v>-3144285196.0799999</v>
      </c>
    </row>
    <row r="410" spans="2:26"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113276</v>
      </c>
      <c r="R410" s="111">
        <v>405000000</v>
      </c>
      <c r="S410" s="128"/>
      <c r="T410" s="245" t="s">
        <v>113147</v>
      </c>
      <c r="U410" s="276">
        <v>83924</v>
      </c>
      <c r="V410" s="277">
        <v>405000000</v>
      </c>
      <c r="W410" s="277">
        <f t="shared" si="311"/>
        <v>405000000</v>
      </c>
      <c r="X410" s="344"/>
      <c r="Y410" s="366"/>
      <c r="Z410" s="278">
        <f t="shared" si="312"/>
        <v>-405000000</v>
      </c>
    </row>
    <row r="411" spans="2:26"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113275</v>
      </c>
      <c r="R411" s="111">
        <f>2107000000+712261158</f>
        <v>2819261158</v>
      </c>
      <c r="S411" s="128"/>
      <c r="T411" s="245" t="s">
        <v>113147</v>
      </c>
      <c r="U411" s="276">
        <v>49924</v>
      </c>
      <c r="V411" s="277">
        <v>2819261158</v>
      </c>
      <c r="W411" s="277">
        <f t="shared" si="311"/>
        <v>101285739.30000019</v>
      </c>
      <c r="X411" s="342">
        <v>151624</v>
      </c>
      <c r="Y411" s="366">
        <v>2717975418.6999998</v>
      </c>
      <c r="Z411" s="278">
        <f t="shared" si="312"/>
        <v>-101285739.30000019</v>
      </c>
    </row>
    <row r="412" spans="2:26"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113276</v>
      </c>
      <c r="R412" s="111">
        <f>355000000-40000000</f>
        <v>315000000</v>
      </c>
      <c r="S412" s="128"/>
      <c r="T412" s="245" t="s">
        <v>113147</v>
      </c>
      <c r="U412" s="276">
        <v>52324</v>
      </c>
      <c r="V412" s="277">
        <v>265151241</v>
      </c>
      <c r="W412" s="277">
        <f t="shared" si="311"/>
        <v>19241</v>
      </c>
      <c r="X412" s="342">
        <v>151424</v>
      </c>
      <c r="Y412" s="366">
        <v>265132000</v>
      </c>
      <c r="Z412" s="278">
        <f t="shared" si="312"/>
        <v>-49868000</v>
      </c>
    </row>
    <row r="413" spans="2:26" ht="45" customHeight="1" x14ac:dyDescent="0.25">
      <c r="B413" s="84"/>
      <c r="C413" s="85"/>
      <c r="D413" s="85"/>
      <c r="E413" s="85"/>
      <c r="F413" s="85"/>
      <c r="G413" s="85"/>
      <c r="H413" s="85"/>
      <c r="I413" s="85"/>
      <c r="J413" s="86"/>
      <c r="K413" s="86"/>
      <c r="L413" s="87"/>
      <c r="M413" s="88" t="s">
        <v>113500</v>
      </c>
      <c r="N413" s="89" t="s">
        <v>113029</v>
      </c>
      <c r="O413" s="89" t="s">
        <v>113029</v>
      </c>
      <c r="P413" s="89" t="s">
        <v>113029</v>
      </c>
      <c r="Q413" s="89" t="s">
        <v>113029</v>
      </c>
      <c r="R413" s="111">
        <v>40000000</v>
      </c>
      <c r="S413" s="127"/>
      <c r="T413" s="88" t="s">
        <v>113147</v>
      </c>
      <c r="U413" s="276">
        <v>88924</v>
      </c>
      <c r="V413" s="277">
        <v>40000000</v>
      </c>
      <c r="W413" s="277"/>
      <c r="X413" s="344" t="s">
        <v>113516</v>
      </c>
      <c r="Y413" s="366">
        <v>2103497</v>
      </c>
      <c r="Z413" s="278">
        <f t="shared" si="312"/>
        <v>-37896503</v>
      </c>
    </row>
    <row r="414" spans="2:26" x14ac:dyDescent="0.25">
      <c r="Y414" s="329"/>
    </row>
    <row r="415" spans="2:26" x14ac:dyDescent="0.25">
      <c r="Y415" s="329"/>
    </row>
    <row r="416" spans="2:26" x14ac:dyDescent="0.25">
      <c r="Y416" s="329"/>
    </row>
    <row r="418" spans="22:22" x14ac:dyDescent="0.25">
      <c r="V418" s="329">
        <f>V405-R405</f>
        <v>0</v>
      </c>
    </row>
  </sheetData>
  <sheetProtection formatCells="0" formatColumns="0" formatRows="0" insertColumns="0" insertRows="0" insertHyperlinks="0" deleteColumns="0" deleteRows="0" sort="0" autoFilter="0" pivotTables="0"/>
  <autoFilter ref="A6:AC412"/>
  <mergeCells count="1">
    <mergeCell ref="B341:L341"/>
  </mergeCells>
  <conditionalFormatting sqref="O17">
    <cfRule type="timePeriod" dxfId="7" priority="11" timePeriod="lastMonth">
      <formula>AND(MONTH(O17)=MONTH(EDATE(TODAY(),0-1)),YEAR(O17)=YEAR(EDATE(TODAY(),0-1)))</formula>
    </cfRule>
  </conditionalFormatting>
  <conditionalFormatting sqref="N25:O25">
    <cfRule type="timePeriod" dxfId="6" priority="9" timePeriod="lastMonth">
      <formula>AND(MONTH(N25)=MONTH(EDATE(TODAY(),0-1)),YEAR(N25)=YEAR(EDATE(TODAY(),0-1)))</formula>
    </cfRule>
  </conditionalFormatting>
  <conditionalFormatting sqref="N41:O41">
    <cfRule type="timePeriod" dxfId="5" priority="7" timePeriod="lastMonth">
      <formula>AND(MONTH(N41)=MONTH(EDATE(TODAY(),0-1)),YEAR(N41)=YEAR(EDATE(TODAY(),0-1)))</formula>
    </cfRule>
  </conditionalFormatting>
  <conditionalFormatting sqref="N44:O44">
    <cfRule type="timePeriod" dxfId="4" priority="5" timePeriod="lastMonth">
      <formula>AND(MONTH(N44)=MONTH(EDATE(TODAY(),0-1)),YEAR(N44)=YEAR(EDATE(TODAY(),0-1)))</formula>
    </cfRule>
  </conditionalFormatting>
  <conditionalFormatting sqref="N66:O66">
    <cfRule type="timePeriod" dxfId="3" priority="3" timePeriod="lastMonth">
      <formula>AND(MONTH(N66)=MONTH(EDATE(TODAY(),0-1)),YEAR(N66)=YEAR(EDATE(TODAY(),0-1)))</formula>
    </cfRule>
  </conditionalFormatting>
  <conditionalFormatting sqref="N14:Q14">
    <cfRule type="timePeriod" dxfId="2" priority="13"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2"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T365:T1048576 T1:T183 T210:T226 X347 AA1:AA5 X93:X94 T328:T332 T185:T208 U342 U351 X349 Y239 T255 Y286 Y330 T339:T343 U340 T359:Z359 T347:T352 V93 T301:T305 U347 T312 U367:U368 X351 X367:X368 U397:U398 U349 X397:X398 U94 T335 T230 T232:T233 T235:T236 T238:T240 T242:T246 T248:T250 T252:T253 T259:T283 T285:T287 T289:T294 T296:T299 T307:T310 T357:Z357 T361:Z361 T354:Z355</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62" customFormat="1" x14ac:dyDescent="0.25">
      <c r="A633" s="331" t="s">
        <v>105516</v>
      </c>
      <c r="B633" s="331" t="s">
        <v>105573</v>
      </c>
      <c r="C633" s="331" t="s">
        <v>105573</v>
      </c>
      <c r="D633" s="331" t="s">
        <v>105520</v>
      </c>
      <c r="E633" s="331" t="s">
        <v>105541</v>
      </c>
      <c r="F633" s="331" t="s">
        <v>105535</v>
      </c>
      <c r="G633" s="331"/>
      <c r="H633" s="331"/>
      <c r="I633" s="331"/>
      <c r="J633" s="321" t="s">
        <v>106708</v>
      </c>
      <c r="K633" s="321" t="s">
        <v>106709</v>
      </c>
      <c r="L633" s="331" t="s">
        <v>105497</v>
      </c>
      <c r="M633" s="321"/>
      <c r="N633" s="331" t="s">
        <v>105533</v>
      </c>
      <c r="O633" s="331" t="s">
        <v>105534</v>
      </c>
      <c r="P633" s="331" t="s">
        <v>105533</v>
      </c>
      <c r="Q633" s="331" t="s">
        <v>105518</v>
      </c>
      <c r="R633" s="33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21"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31" t="s">
        <v>105516</v>
      </c>
      <c r="B851" s="331" t="s">
        <v>105573</v>
      </c>
      <c r="C851" s="331" t="s">
        <v>105573</v>
      </c>
      <c r="D851" s="331" t="s">
        <v>105573</v>
      </c>
      <c r="E851" s="331" t="s">
        <v>105553</v>
      </c>
      <c r="F851" s="331" t="s">
        <v>105550</v>
      </c>
      <c r="G851" s="331"/>
      <c r="H851" s="331"/>
      <c r="I851" s="331"/>
      <c r="J851" s="321" t="s">
        <v>107091</v>
      </c>
      <c r="K851" s="321" t="s">
        <v>107092</v>
      </c>
      <c r="L851" s="11" t="s">
        <v>105497</v>
      </c>
      <c r="M851" s="12"/>
      <c r="N851" s="11" t="s">
        <v>105533</v>
      </c>
      <c r="O851" s="11" t="s">
        <v>105534</v>
      </c>
      <c r="P851" s="11" t="s">
        <v>105518</v>
      </c>
      <c r="Q851" s="11" t="s">
        <v>105533</v>
      </c>
      <c r="R851" s="11" t="s">
        <v>105518</v>
      </c>
    </row>
    <row r="852" spans="1:18" x14ac:dyDescent="0.25">
      <c r="A852" s="331" t="s">
        <v>105516</v>
      </c>
      <c r="B852" s="331" t="s">
        <v>105573</v>
      </c>
      <c r="C852" s="331" t="s">
        <v>105573</v>
      </c>
      <c r="D852" s="331" t="s">
        <v>105573</v>
      </c>
      <c r="E852" s="331" t="s">
        <v>105553</v>
      </c>
      <c r="F852" s="331" t="s">
        <v>105550</v>
      </c>
      <c r="G852" s="331" t="s">
        <v>105520</v>
      </c>
      <c r="H852" s="331"/>
      <c r="I852" s="331"/>
      <c r="J852" s="321" t="s">
        <v>107093</v>
      </c>
      <c r="K852" s="321" t="s">
        <v>107094</v>
      </c>
      <c r="L852" s="11" t="s">
        <v>105497</v>
      </c>
      <c r="M852" s="12"/>
      <c r="N852" s="11" t="s">
        <v>105518</v>
      </c>
      <c r="O852" s="11" t="s">
        <v>105518</v>
      </c>
      <c r="P852" s="11" t="s">
        <v>105518</v>
      </c>
      <c r="Q852" s="11" t="s">
        <v>105518</v>
      </c>
      <c r="R852" s="11" t="s">
        <v>105518</v>
      </c>
    </row>
    <row r="853" spans="1:18" x14ac:dyDescent="0.25">
      <c r="A853" s="331" t="s">
        <v>105516</v>
      </c>
      <c r="B853" s="331" t="s">
        <v>105573</v>
      </c>
      <c r="C853" s="331" t="s">
        <v>105573</v>
      </c>
      <c r="D853" s="331" t="s">
        <v>105573</v>
      </c>
      <c r="E853" s="331" t="s">
        <v>105553</v>
      </c>
      <c r="F853" s="331" t="s">
        <v>105550</v>
      </c>
      <c r="G853" s="331" t="s">
        <v>105520</v>
      </c>
      <c r="H853" s="331" t="s">
        <v>105576</v>
      </c>
      <c r="I853" s="331"/>
      <c r="J853" s="321" t="s">
        <v>107095</v>
      </c>
      <c r="K853" s="321" t="s">
        <v>107096</v>
      </c>
      <c r="L853" s="11" t="s">
        <v>105497</v>
      </c>
      <c r="M853" s="12"/>
      <c r="N853" s="11" t="s">
        <v>105518</v>
      </c>
      <c r="O853" s="11" t="s">
        <v>105518</v>
      </c>
      <c r="P853" s="11" t="s">
        <v>105533</v>
      </c>
      <c r="Q853" s="11" t="s">
        <v>105518</v>
      </c>
      <c r="R853" s="11" t="s">
        <v>105533</v>
      </c>
    </row>
    <row r="854" spans="1:18" x14ac:dyDescent="0.25">
      <c r="A854" s="331" t="s">
        <v>105516</v>
      </c>
      <c r="B854" s="331" t="s">
        <v>105573</v>
      </c>
      <c r="C854" s="331" t="s">
        <v>105573</v>
      </c>
      <c r="D854" s="331" t="s">
        <v>105573</v>
      </c>
      <c r="E854" s="331" t="s">
        <v>105553</v>
      </c>
      <c r="F854" s="331" t="s">
        <v>105550</v>
      </c>
      <c r="G854" s="331" t="s">
        <v>105520</v>
      </c>
      <c r="H854" s="331" t="s">
        <v>105579</v>
      </c>
      <c r="I854" s="331"/>
      <c r="J854" s="321" t="s">
        <v>107097</v>
      </c>
      <c r="K854" s="321" t="s">
        <v>107098</v>
      </c>
      <c r="L854" s="11" t="s">
        <v>105497</v>
      </c>
      <c r="M854" s="12"/>
      <c r="N854" s="11" t="s">
        <v>105518</v>
      </c>
      <c r="O854" s="11" t="s">
        <v>105518</v>
      </c>
      <c r="P854" s="11" t="s">
        <v>105533</v>
      </c>
      <c r="Q854" s="11" t="s">
        <v>105518</v>
      </c>
      <c r="R854" s="11" t="s">
        <v>105533</v>
      </c>
    </row>
    <row r="855" spans="1:18" x14ac:dyDescent="0.25">
      <c r="A855" s="331" t="s">
        <v>105516</v>
      </c>
      <c r="B855" s="331" t="s">
        <v>105573</v>
      </c>
      <c r="C855" s="331" t="s">
        <v>105573</v>
      </c>
      <c r="D855" s="331" t="s">
        <v>105573</v>
      </c>
      <c r="E855" s="331" t="s">
        <v>105553</v>
      </c>
      <c r="F855" s="331" t="s">
        <v>105550</v>
      </c>
      <c r="G855" s="331" t="s">
        <v>105520</v>
      </c>
      <c r="H855" s="331" t="s">
        <v>106211</v>
      </c>
      <c r="I855" s="331"/>
      <c r="J855" s="321" t="s">
        <v>107099</v>
      </c>
      <c r="K855" s="321" t="s">
        <v>107100</v>
      </c>
      <c r="L855" s="11" t="s">
        <v>105497</v>
      </c>
      <c r="M855" s="12"/>
      <c r="N855" s="11" t="s">
        <v>105518</v>
      </c>
      <c r="O855" s="11" t="s">
        <v>105518</v>
      </c>
      <c r="P855" s="11" t="s">
        <v>105533</v>
      </c>
      <c r="Q855" s="11" t="s">
        <v>105518</v>
      </c>
      <c r="R855" s="11" t="s">
        <v>105533</v>
      </c>
    </row>
    <row r="856" spans="1:18" x14ac:dyDescent="0.25">
      <c r="A856" s="331" t="s">
        <v>105516</v>
      </c>
      <c r="B856" s="331" t="s">
        <v>105573</v>
      </c>
      <c r="C856" s="331" t="s">
        <v>105573</v>
      </c>
      <c r="D856" s="331" t="s">
        <v>105573</v>
      </c>
      <c r="E856" s="331" t="s">
        <v>105553</v>
      </c>
      <c r="F856" s="331" t="s">
        <v>105550</v>
      </c>
      <c r="G856" s="331" t="s">
        <v>105520</v>
      </c>
      <c r="H856" s="331" t="s">
        <v>106214</v>
      </c>
      <c r="I856" s="331"/>
      <c r="J856" s="321" t="s">
        <v>107101</v>
      </c>
      <c r="K856" s="321" t="s">
        <v>107102</v>
      </c>
      <c r="L856" s="11" t="s">
        <v>105497</v>
      </c>
      <c r="M856" s="12"/>
      <c r="N856" s="11" t="s">
        <v>105518</v>
      </c>
      <c r="O856" s="11" t="s">
        <v>105518</v>
      </c>
      <c r="P856" s="11" t="s">
        <v>105533</v>
      </c>
      <c r="Q856" s="11" t="s">
        <v>105518</v>
      </c>
      <c r="R856" s="11" t="s">
        <v>105533</v>
      </c>
    </row>
    <row r="857" spans="1:18" x14ac:dyDescent="0.25">
      <c r="A857" s="331" t="s">
        <v>105516</v>
      </c>
      <c r="B857" s="331" t="s">
        <v>105573</v>
      </c>
      <c r="C857" s="331" t="s">
        <v>105573</v>
      </c>
      <c r="D857" s="331" t="s">
        <v>105573</v>
      </c>
      <c r="E857" s="331" t="s">
        <v>105553</v>
      </c>
      <c r="F857" s="331" t="s">
        <v>105550</v>
      </c>
      <c r="G857" s="331" t="s">
        <v>105520</v>
      </c>
      <c r="H857" s="331" t="s">
        <v>106217</v>
      </c>
      <c r="I857" s="331"/>
      <c r="J857" s="321" t="s">
        <v>107103</v>
      </c>
      <c r="K857" s="321"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21"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21"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21"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50" bestFit="1" customWidth="1"/>
    <col min="4" max="4" width="11.5703125" bestFit="1" customWidth="1"/>
    <col min="5" max="6" width="11.5703125" hidden="1" customWidth="1"/>
    <col min="8" max="8" width="17" customWidth="1"/>
  </cols>
  <sheetData>
    <row r="1" spans="1:8" x14ac:dyDescent="0.25">
      <c r="E1" s="261" t="s">
        <v>113257</v>
      </c>
      <c r="F1" s="261"/>
      <c r="G1" t="s">
        <v>113256</v>
      </c>
    </row>
    <row r="2" spans="1:8" x14ac:dyDescent="0.25">
      <c r="B2" s="260"/>
      <c r="C2" s="259">
        <v>2022</v>
      </c>
      <c r="D2" s="259">
        <v>2023</v>
      </c>
      <c r="E2" s="258" t="s">
        <v>113255</v>
      </c>
      <c r="F2" s="258" t="s">
        <v>113255</v>
      </c>
      <c r="G2" s="257">
        <v>2024</v>
      </c>
    </row>
    <row r="3" spans="1:8" x14ac:dyDescent="0.25">
      <c r="B3" s="254" t="s">
        <v>113254</v>
      </c>
      <c r="C3" s="256">
        <v>5900000</v>
      </c>
      <c r="D3" s="252">
        <v>6684700</v>
      </c>
      <c r="E3" s="252">
        <f t="shared" ref="E3:E11" si="0">+D3*10%</f>
        <v>668470</v>
      </c>
      <c r="F3" s="255">
        <f t="shared" ref="F3:F11" si="1">+D3+E3</f>
        <v>7353170</v>
      </c>
      <c r="G3" s="251">
        <v>7300000</v>
      </c>
    </row>
    <row r="4" spans="1:8" x14ac:dyDescent="0.25">
      <c r="B4" s="254" t="s">
        <v>113253</v>
      </c>
      <c r="C4" s="256">
        <v>4600000</v>
      </c>
      <c r="D4" s="252">
        <v>5211800</v>
      </c>
      <c r="E4" s="252">
        <f t="shared" si="0"/>
        <v>521180</v>
      </c>
      <c r="F4" s="255">
        <f t="shared" si="1"/>
        <v>5732980</v>
      </c>
      <c r="G4" s="251">
        <v>5700000</v>
      </c>
      <c r="H4" s="268"/>
    </row>
    <row r="5" spans="1:8" x14ac:dyDescent="0.25">
      <c r="A5" t="s">
        <v>113261</v>
      </c>
      <c r="B5" s="254" t="s">
        <v>113252</v>
      </c>
      <c r="C5" s="256">
        <v>3300000</v>
      </c>
      <c r="D5" s="252">
        <v>3738900</v>
      </c>
      <c r="E5" s="252">
        <f t="shared" si="0"/>
        <v>373890</v>
      </c>
      <c r="F5" s="255">
        <f t="shared" si="1"/>
        <v>4112790</v>
      </c>
      <c r="G5" s="251">
        <v>4100000</v>
      </c>
      <c r="H5" s="268"/>
    </row>
    <row r="6" spans="1:8" x14ac:dyDescent="0.25">
      <c r="B6" s="254" t="s">
        <v>113251</v>
      </c>
      <c r="C6" s="256">
        <v>2600000</v>
      </c>
      <c r="D6" s="252">
        <v>2945800</v>
      </c>
      <c r="E6" s="252">
        <f t="shared" si="0"/>
        <v>294580</v>
      </c>
      <c r="F6" s="255">
        <f t="shared" si="1"/>
        <v>3240380</v>
      </c>
      <c r="G6" s="251">
        <v>3200000</v>
      </c>
    </row>
    <row r="7" spans="1:8" x14ac:dyDescent="0.25">
      <c r="B7" s="254" t="s">
        <v>113250</v>
      </c>
      <c r="C7" s="256">
        <v>2100000</v>
      </c>
      <c r="D7" s="252">
        <v>2379300</v>
      </c>
      <c r="E7" s="252">
        <f t="shared" si="0"/>
        <v>237930</v>
      </c>
      <c r="F7" s="255">
        <f t="shared" si="1"/>
        <v>2617230</v>
      </c>
      <c r="G7" s="251">
        <v>2600000</v>
      </c>
    </row>
    <row r="8" spans="1:8" x14ac:dyDescent="0.25">
      <c r="B8" s="254" t="s">
        <v>113249</v>
      </c>
      <c r="C8" s="256">
        <v>1400000</v>
      </c>
      <c r="D8" s="252">
        <v>1586200</v>
      </c>
      <c r="E8" s="252">
        <f t="shared" si="0"/>
        <v>158620</v>
      </c>
      <c r="F8" s="255">
        <f t="shared" si="1"/>
        <v>1744820</v>
      </c>
      <c r="G8" s="251">
        <v>1700000</v>
      </c>
    </row>
    <row r="9" spans="1:8" x14ac:dyDescent="0.25">
      <c r="B9" s="254" t="s">
        <v>113248</v>
      </c>
      <c r="C9" s="253">
        <v>2400000</v>
      </c>
      <c r="D9" s="252">
        <v>2500000</v>
      </c>
      <c r="E9" s="252">
        <f t="shared" si="0"/>
        <v>250000</v>
      </c>
      <c r="F9" s="251">
        <f t="shared" si="1"/>
        <v>2750000</v>
      </c>
      <c r="G9" s="251">
        <v>2700000</v>
      </c>
      <c r="H9" s="250"/>
    </row>
    <row r="10" spans="1:8" x14ac:dyDescent="0.25">
      <c r="B10" s="254" t="s">
        <v>113247</v>
      </c>
      <c r="C10" s="253">
        <v>2400000</v>
      </c>
      <c r="D10" s="252">
        <v>2400000</v>
      </c>
      <c r="E10" s="252">
        <f t="shared" si="0"/>
        <v>240000</v>
      </c>
      <c r="F10" s="251">
        <f t="shared" si="1"/>
        <v>2640000</v>
      </c>
      <c r="G10" s="251">
        <v>2600000</v>
      </c>
      <c r="H10" s="250"/>
    </row>
    <row r="11" spans="1:8" x14ac:dyDescent="0.25">
      <c r="B11" s="254" t="s">
        <v>113246</v>
      </c>
      <c r="C11" s="253">
        <v>1800000</v>
      </c>
      <c r="D11" s="252">
        <v>2000000</v>
      </c>
      <c r="E11" s="252">
        <f t="shared" si="0"/>
        <v>200000</v>
      </c>
      <c r="F11" s="251">
        <f t="shared" si="1"/>
        <v>2200000</v>
      </c>
      <c r="G11" s="251">
        <v>2200000</v>
      </c>
    </row>
    <row r="12" spans="1:8" x14ac:dyDescent="0.25">
      <c r="B12" s="265" t="s">
        <v>113260</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 Adqu ICFE 2024 VR 1</vt:lpstr>
      <vt:lpstr>Hoja1</vt:lpstr>
      <vt:lpstr>CatalogoPresupuestal</vt:lpstr>
      <vt:lpstr>Código UNSPSC</vt:lpstr>
      <vt:lpstr>OPS 2024</vt:lpstr>
      <vt:lpstr>'Plan Adqu ICFE 2024 VR 1'!_Hlk155693198</vt:lpstr>
      <vt:lpstr>'Plan Adqu ICFE 2024 VR 1'!Área_de_impresión</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2024-10-07T14:47:34Z</dcterms:modified>
</cp:coreProperties>
</file>